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Daten\__NEU__\FJ\FJ_MSS\MSS_Info_fuer_SGG_Homepage\MSS_Homepage_ab_2021\"/>
    </mc:Choice>
  </mc:AlternateContent>
  <bookViews>
    <workbookView xWindow="0" yWindow="0" windowWidth="20730" windowHeight="9030" activeTab="5"/>
  </bookViews>
  <sheets>
    <sheet name="Block_I (1F)" sheetId="1" r:id="rId1"/>
    <sheet name="Block_II (1F)" sheetId="2" r:id="rId2"/>
    <sheet name="Notenberechnung (1F)" sheetId="3" r:id="rId3"/>
    <sheet name="Notenberechnung" sheetId="4" r:id="rId4"/>
    <sheet name="Abi_Rechner" sheetId="5" r:id="rId5"/>
    <sheet name="MA_Rechner" sheetId="8" r:id="rId6"/>
    <sheet name="Nötige Pkte 4_5_PF" sheetId="9" r:id="rId7"/>
  </sheets>
  <definedNames>
    <definedName name="_xlnm.Print_Area" localSheetId="4">Abi_Rechner!$A$1:$X$33</definedName>
    <definedName name="_xlnm.Print_Area" localSheetId="5">MA_Rechner!$A$1:$M$33</definedName>
  </definedNames>
  <calcPr calcId="162913"/>
</workbook>
</file>

<file path=xl/calcChain.xml><?xml version="1.0" encoding="utf-8"?>
<calcChain xmlns="http://schemas.openxmlformats.org/spreadsheetml/2006/main">
  <c r="H11" i="8" l="1"/>
  <c r="H12" i="8"/>
  <c r="H10" i="8"/>
  <c r="S11" i="5"/>
  <c r="S12" i="5"/>
  <c r="S10" i="5"/>
  <c r="H9" i="2"/>
  <c r="H10" i="2"/>
  <c r="H8" i="2"/>
  <c r="D30" i="8" l="1"/>
  <c r="O30" i="5"/>
  <c r="D28" i="2"/>
  <c r="H19" i="1" l="1"/>
  <c r="H21" i="5"/>
  <c r="D20" i="9" l="1"/>
  <c r="D8" i="9"/>
  <c r="E8" i="9" s="1"/>
  <c r="E21" i="9"/>
  <c r="E7" i="9"/>
  <c r="E17" i="9"/>
  <c r="I15" i="9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AD15" i="9" s="1"/>
  <c r="AE15" i="9" s="1"/>
  <c r="AF15" i="9" s="1"/>
  <c r="AG15" i="9" s="1"/>
  <c r="AH15" i="9" s="1"/>
  <c r="AI15" i="9" s="1"/>
  <c r="AJ15" i="9" s="1"/>
  <c r="AK15" i="9" s="1"/>
  <c r="AL15" i="9" s="1"/>
  <c r="I14" i="9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X14" i="9" s="1"/>
  <c r="Y14" i="9" s="1"/>
  <c r="Z14" i="9" s="1"/>
  <c r="AA14" i="9" s="1"/>
  <c r="AB14" i="9" s="1"/>
  <c r="AC14" i="9" s="1"/>
  <c r="AD14" i="9" s="1"/>
  <c r="AE14" i="9" s="1"/>
  <c r="AF14" i="9" s="1"/>
  <c r="AG14" i="9" s="1"/>
  <c r="AH14" i="9" s="1"/>
  <c r="AI14" i="9" s="1"/>
  <c r="AJ14" i="9" s="1"/>
  <c r="AK14" i="9" s="1"/>
  <c r="AL14" i="9" s="1"/>
  <c r="I4" i="9"/>
  <c r="H6" i="9" s="1"/>
  <c r="E6" i="9"/>
  <c r="E11" i="9" s="1"/>
  <c r="I3" i="9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AE3" i="9" s="1"/>
  <c r="AF3" i="9" s="1"/>
  <c r="AG3" i="9" s="1"/>
  <c r="AH3" i="9" s="1"/>
  <c r="AI3" i="9" s="1"/>
  <c r="AJ3" i="9" s="1"/>
  <c r="AK3" i="9" s="1"/>
  <c r="AL3" i="9" s="1"/>
  <c r="O30" i="8"/>
  <c r="L29" i="8"/>
  <c r="AO29" i="8" s="1"/>
  <c r="H16" i="8"/>
  <c r="O14" i="8"/>
  <c r="H14" i="8"/>
  <c r="H13" i="8"/>
  <c r="D31" i="8" s="1"/>
  <c r="S14" i="5"/>
  <c r="S13" i="5"/>
  <c r="BC29" i="5"/>
  <c r="AY29" i="5"/>
  <c r="AV29" i="5"/>
  <c r="AU29" i="5"/>
  <c r="AQ29" i="5"/>
  <c r="AN29" i="5"/>
  <c r="AM29" i="5"/>
  <c r="AI29" i="5"/>
  <c r="AF29" i="5"/>
  <c r="AE29" i="5"/>
  <c r="AA29" i="5"/>
  <c r="Z30" i="5"/>
  <c r="AA30" i="5" s="1"/>
  <c r="Z31" i="5" s="1"/>
  <c r="W29" i="5"/>
  <c r="BB29" i="5" s="1"/>
  <c r="Z14" i="5"/>
  <c r="S16" i="5"/>
  <c r="D32" i="5"/>
  <c r="D31" i="5"/>
  <c r="J20" i="5"/>
  <c r="J19" i="5"/>
  <c r="H19" i="5"/>
  <c r="J18" i="5"/>
  <c r="H18" i="5"/>
  <c r="J17" i="5"/>
  <c r="H17" i="5"/>
  <c r="J16" i="5"/>
  <c r="H16" i="5"/>
  <c r="J15" i="5"/>
  <c r="H15" i="5"/>
  <c r="J14" i="5"/>
  <c r="H14" i="5"/>
  <c r="J13" i="5"/>
  <c r="H13" i="5"/>
  <c r="J12" i="5"/>
  <c r="H12" i="5"/>
  <c r="J11" i="5"/>
  <c r="H11" i="5"/>
  <c r="J10" i="5"/>
  <c r="H10" i="5"/>
  <c r="J9" i="5"/>
  <c r="H9" i="5"/>
  <c r="F12" i="4"/>
  <c r="C11" i="4"/>
  <c r="H11" i="4" s="1"/>
  <c r="F28" i="3"/>
  <c r="C27" i="3"/>
  <c r="AF27" i="3" s="1"/>
  <c r="F12" i="3"/>
  <c r="G12" i="3" s="1"/>
  <c r="H14" i="2"/>
  <c r="H12" i="2"/>
  <c r="H11" i="2"/>
  <c r="D29" i="2" s="1"/>
  <c r="D30" i="1"/>
  <c r="D29" i="1"/>
  <c r="J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O31" i="5" l="1"/>
  <c r="AB30" i="5"/>
  <c r="AA31" i="5" s="1"/>
  <c r="Y31" i="5"/>
  <c r="AB29" i="5"/>
  <c r="AJ29" i="5"/>
  <c r="AR29" i="5"/>
  <c r="AZ29" i="5"/>
  <c r="Y29" i="5"/>
  <c r="AC29" i="5"/>
  <c r="AG29" i="5"/>
  <c r="AK29" i="5"/>
  <c r="AO29" i="5"/>
  <c r="AS29" i="5"/>
  <c r="AW29" i="5"/>
  <c r="BA29" i="5"/>
  <c r="J4" i="9"/>
  <c r="E10" i="9"/>
  <c r="E20" i="9"/>
  <c r="Z29" i="5"/>
  <c r="AD29" i="5"/>
  <c r="AH29" i="5"/>
  <c r="AL29" i="5"/>
  <c r="AP29" i="5"/>
  <c r="AT29" i="5"/>
  <c r="AX29" i="5"/>
  <c r="H7" i="9"/>
  <c r="E9" i="9"/>
  <c r="E19" i="9"/>
  <c r="E22" i="9"/>
  <c r="I22" i="9" s="1"/>
  <c r="E18" i="9"/>
  <c r="H18" i="9" s="1"/>
  <c r="J22" i="5"/>
  <c r="J23" i="5" s="1"/>
  <c r="J24" i="5" s="1"/>
  <c r="H22" i="9"/>
  <c r="I11" i="9"/>
  <c r="H11" i="9"/>
  <c r="I7" i="9"/>
  <c r="H17" i="9"/>
  <c r="I18" i="9"/>
  <c r="H21" i="9"/>
  <c r="I17" i="9"/>
  <c r="I21" i="9"/>
  <c r="R29" i="8"/>
  <c r="W29" i="8"/>
  <c r="AB29" i="8"/>
  <c r="AH29" i="8"/>
  <c r="AM29" i="8"/>
  <c r="AR29" i="8"/>
  <c r="N29" i="8"/>
  <c r="S29" i="8"/>
  <c r="X29" i="8"/>
  <c r="AD29" i="8"/>
  <c r="AI29" i="8"/>
  <c r="AN29" i="8"/>
  <c r="O29" i="8"/>
  <c r="T29" i="8"/>
  <c r="Z29" i="8"/>
  <c r="AE29" i="8"/>
  <c r="AJ29" i="8"/>
  <c r="AP29" i="8"/>
  <c r="P29" i="8"/>
  <c r="V29" i="8"/>
  <c r="AA29" i="8"/>
  <c r="AF29" i="8"/>
  <c r="AL29" i="8"/>
  <c r="AQ29" i="8"/>
  <c r="N31" i="8"/>
  <c r="P30" i="8"/>
  <c r="H19" i="8"/>
  <c r="P14" i="8"/>
  <c r="Q29" i="8"/>
  <c r="U29" i="8"/>
  <c r="Y29" i="8"/>
  <c r="AC29" i="8"/>
  <c r="AG29" i="8"/>
  <c r="AK29" i="8"/>
  <c r="AA14" i="5"/>
  <c r="H22" i="5"/>
  <c r="S19" i="5"/>
  <c r="P11" i="4"/>
  <c r="X11" i="4"/>
  <c r="AF11" i="4"/>
  <c r="AI11" i="4"/>
  <c r="AE11" i="4"/>
  <c r="AA11" i="4"/>
  <c r="W11" i="4"/>
  <c r="S11" i="4"/>
  <c r="O11" i="4"/>
  <c r="K11" i="4"/>
  <c r="G11" i="4"/>
  <c r="AH11" i="4"/>
  <c r="AD11" i="4"/>
  <c r="Z11" i="4"/>
  <c r="V11" i="4"/>
  <c r="R11" i="4"/>
  <c r="N11" i="4"/>
  <c r="J11" i="4"/>
  <c r="F11" i="4"/>
  <c r="L11" i="4"/>
  <c r="T11" i="4"/>
  <c r="AB11" i="4"/>
  <c r="E13" i="4"/>
  <c r="E11" i="4"/>
  <c r="M11" i="4"/>
  <c r="U11" i="4"/>
  <c r="AC11" i="4"/>
  <c r="G12" i="4"/>
  <c r="I11" i="4"/>
  <c r="Q11" i="4"/>
  <c r="Y11" i="4"/>
  <c r="AG11" i="4"/>
  <c r="P27" i="3"/>
  <c r="AI27" i="3"/>
  <c r="AE27" i="3"/>
  <c r="AA27" i="3"/>
  <c r="W27" i="3"/>
  <c r="S27" i="3"/>
  <c r="O27" i="3"/>
  <c r="K27" i="3"/>
  <c r="G27" i="3"/>
  <c r="AH27" i="3"/>
  <c r="AD27" i="3"/>
  <c r="Z27" i="3"/>
  <c r="V27" i="3"/>
  <c r="R27" i="3"/>
  <c r="N27" i="3"/>
  <c r="J27" i="3"/>
  <c r="F27" i="3"/>
  <c r="AG27" i="3"/>
  <c r="AC27" i="3"/>
  <c r="Y27" i="3"/>
  <c r="U27" i="3"/>
  <c r="Q27" i="3"/>
  <c r="M27" i="3"/>
  <c r="I27" i="3"/>
  <c r="E27" i="3"/>
  <c r="T27" i="3"/>
  <c r="E29" i="3"/>
  <c r="G28" i="3"/>
  <c r="H27" i="3"/>
  <c r="X27" i="3"/>
  <c r="L27" i="3"/>
  <c r="AB27" i="3"/>
  <c r="H12" i="3"/>
  <c r="H20" i="1"/>
  <c r="H17" i="2"/>
  <c r="J20" i="1"/>
  <c r="J21" i="1" s="1"/>
  <c r="J22" i="1" s="1"/>
  <c r="J23" i="1"/>
  <c r="W31" i="5" l="1"/>
  <c r="J25" i="5"/>
  <c r="D30" i="5" s="1"/>
  <c r="AC30" i="5"/>
  <c r="AB31" i="5" s="1"/>
  <c r="K4" i="9"/>
  <c r="J22" i="9" s="1"/>
  <c r="I6" i="9"/>
  <c r="L31" i="8"/>
  <c r="J20" i="9"/>
  <c r="H20" i="9"/>
  <c r="I20" i="9"/>
  <c r="J19" i="9"/>
  <c r="H19" i="9"/>
  <c r="J18" i="9"/>
  <c r="I19" i="9"/>
  <c r="J8" i="9"/>
  <c r="H8" i="9"/>
  <c r="I8" i="9"/>
  <c r="D29" i="8"/>
  <c r="L9" i="8"/>
  <c r="O31" i="8"/>
  <c r="Q30" i="8"/>
  <c r="Q14" i="8"/>
  <c r="O29" i="5"/>
  <c r="W9" i="5"/>
  <c r="AB14" i="5"/>
  <c r="H12" i="4"/>
  <c r="F13" i="4"/>
  <c r="C13" i="4"/>
  <c r="C29" i="3"/>
  <c r="H28" i="3"/>
  <c r="F29" i="3"/>
  <c r="I12" i="3"/>
  <c r="D27" i="2"/>
  <c r="C6" i="3"/>
  <c r="D28" i="1"/>
  <c r="C4" i="3"/>
  <c r="W7" i="5" l="1"/>
  <c r="AD30" i="5"/>
  <c r="AC31" i="5" s="1"/>
  <c r="L4" i="9"/>
  <c r="K9" i="9" s="1"/>
  <c r="J6" i="9"/>
  <c r="J11" i="9"/>
  <c r="J7" i="9"/>
  <c r="J21" i="9"/>
  <c r="J17" i="9"/>
  <c r="W13" i="5"/>
  <c r="AW13" i="5" s="1"/>
  <c r="H9" i="9"/>
  <c r="I9" i="9"/>
  <c r="J9" i="9"/>
  <c r="P31" i="8"/>
  <c r="R30" i="8"/>
  <c r="R14" i="8"/>
  <c r="L13" i="8"/>
  <c r="AE30" i="5"/>
  <c r="AD31" i="5" s="1"/>
  <c r="AC14" i="5"/>
  <c r="I12" i="4"/>
  <c r="G13" i="4"/>
  <c r="I28" i="3"/>
  <c r="G29" i="3"/>
  <c r="J12" i="3"/>
  <c r="C11" i="3"/>
  <c r="H13" i="3" s="1"/>
  <c r="M4" i="9" l="1"/>
  <c r="K6" i="9"/>
  <c r="K11" i="9"/>
  <c r="K7" i="9"/>
  <c r="K22" i="9"/>
  <c r="K20" i="9"/>
  <c r="K17" i="9"/>
  <c r="K18" i="9"/>
  <c r="K21" i="9"/>
  <c r="K19" i="9"/>
  <c r="K8" i="9"/>
  <c r="BA13" i="5"/>
  <c r="AT13" i="5"/>
  <c r="AU13" i="5"/>
  <c r="AV13" i="5"/>
  <c r="AD13" i="5"/>
  <c r="AE13" i="5"/>
  <c r="AF13" i="5"/>
  <c r="AK13" i="5"/>
  <c r="AH13" i="5"/>
  <c r="AX13" i="5"/>
  <c r="AI13" i="5"/>
  <c r="AY13" i="5"/>
  <c r="AJ13" i="5"/>
  <c r="AZ13" i="5"/>
  <c r="Z15" i="5"/>
  <c r="AO13" i="5"/>
  <c r="AL13" i="5"/>
  <c r="BB13" i="5"/>
  <c r="AB15" i="5"/>
  <c r="AM13" i="5"/>
  <c r="BC13" i="5"/>
  <c r="AA15" i="5"/>
  <c r="AN13" i="5"/>
  <c r="AC13" i="5"/>
  <c r="AS13" i="5"/>
  <c r="Y13" i="5"/>
  <c r="Z13" i="5"/>
  <c r="AP13" i="5"/>
  <c r="Y15" i="5"/>
  <c r="AA13" i="5"/>
  <c r="AQ13" i="5"/>
  <c r="AB13" i="5"/>
  <c r="AR13" i="5"/>
  <c r="AG13" i="5"/>
  <c r="H10" i="9"/>
  <c r="L10" i="9"/>
  <c r="I10" i="9"/>
  <c r="J10" i="9"/>
  <c r="K10" i="9"/>
  <c r="AO13" i="8"/>
  <c r="AK13" i="8"/>
  <c r="AG13" i="8"/>
  <c r="AC13" i="8"/>
  <c r="Y13" i="8"/>
  <c r="U13" i="8"/>
  <c r="Q13" i="8"/>
  <c r="AR13" i="8"/>
  <c r="AN13" i="8"/>
  <c r="AP13" i="8"/>
  <c r="AI13" i="8"/>
  <c r="AD13" i="8"/>
  <c r="X13" i="8"/>
  <c r="S13" i="8"/>
  <c r="N13" i="8"/>
  <c r="AM13" i="8"/>
  <c r="AH13" i="8"/>
  <c r="AB13" i="8"/>
  <c r="W13" i="8"/>
  <c r="R13" i="8"/>
  <c r="AL13" i="8"/>
  <c r="AF13" i="8"/>
  <c r="AA13" i="8"/>
  <c r="V13" i="8"/>
  <c r="P13" i="8"/>
  <c r="AQ13" i="8"/>
  <c r="AJ13" i="8"/>
  <c r="AE13" i="8"/>
  <c r="Z13" i="8"/>
  <c r="T13" i="8"/>
  <c r="O13" i="8"/>
  <c r="N15" i="8"/>
  <c r="O15" i="8"/>
  <c r="Q31" i="8"/>
  <c r="S30" i="8"/>
  <c r="Q15" i="8"/>
  <c r="S14" i="8"/>
  <c r="P15" i="8"/>
  <c r="AD14" i="5"/>
  <c r="AC15" i="5" s="1"/>
  <c r="AF30" i="5"/>
  <c r="AE31" i="5" s="1"/>
  <c r="H13" i="4"/>
  <c r="J12" i="4"/>
  <c r="E11" i="3"/>
  <c r="E13" i="3"/>
  <c r="F13" i="3"/>
  <c r="G13" i="3"/>
  <c r="H29" i="3"/>
  <c r="J28" i="3"/>
  <c r="I13" i="3"/>
  <c r="K12" i="3"/>
  <c r="AI11" i="3"/>
  <c r="AE11" i="3"/>
  <c r="AA11" i="3"/>
  <c r="W11" i="3"/>
  <c r="S11" i="3"/>
  <c r="O11" i="3"/>
  <c r="K11" i="3"/>
  <c r="G11" i="3"/>
  <c r="AH11" i="3"/>
  <c r="AD11" i="3"/>
  <c r="Z11" i="3"/>
  <c r="V11" i="3"/>
  <c r="R11" i="3"/>
  <c r="N11" i="3"/>
  <c r="J11" i="3"/>
  <c r="F11" i="3"/>
  <c r="AG11" i="3"/>
  <c r="AC11" i="3"/>
  <c r="Y11" i="3"/>
  <c r="U11" i="3"/>
  <c r="Q11" i="3"/>
  <c r="M11" i="3"/>
  <c r="I11" i="3"/>
  <c r="AF11" i="3"/>
  <c r="AB11" i="3"/>
  <c r="X11" i="3"/>
  <c r="T11" i="3"/>
  <c r="P11" i="3"/>
  <c r="L11" i="3"/>
  <c r="H11" i="3"/>
  <c r="N4" i="9" l="1"/>
  <c r="L6" i="9"/>
  <c r="L22" i="9"/>
  <c r="L7" i="9"/>
  <c r="L11" i="9"/>
  <c r="L17" i="9"/>
  <c r="L21" i="9"/>
  <c r="L20" i="9"/>
  <c r="L18" i="9"/>
  <c r="L8" i="9"/>
  <c r="L19" i="9"/>
  <c r="L9" i="9"/>
  <c r="W15" i="5"/>
  <c r="R15" i="8"/>
  <c r="T14" i="8"/>
  <c r="R31" i="8"/>
  <c r="T30" i="8"/>
  <c r="L15" i="8"/>
  <c r="AG30" i="5"/>
  <c r="AF31" i="5" s="1"/>
  <c r="AE14" i="5"/>
  <c r="AD15" i="5" s="1"/>
  <c r="I13" i="4"/>
  <c r="K12" i="4"/>
  <c r="C13" i="3"/>
  <c r="I29" i="3"/>
  <c r="K28" i="3"/>
  <c r="L12" i="3"/>
  <c r="J13" i="3"/>
  <c r="O4" i="9" l="1"/>
  <c r="M6" i="9"/>
  <c r="M22" i="9"/>
  <c r="M18" i="9"/>
  <c r="M20" i="9"/>
  <c r="M7" i="9"/>
  <c r="M21" i="9"/>
  <c r="M11" i="9"/>
  <c r="M17" i="9"/>
  <c r="M19" i="9"/>
  <c r="M8" i="9"/>
  <c r="M9" i="9"/>
  <c r="M10" i="9"/>
  <c r="S15" i="8"/>
  <c r="U14" i="8"/>
  <c r="S31" i="8"/>
  <c r="U30" i="8"/>
  <c r="AH30" i="5"/>
  <c r="AG31" i="5" s="1"/>
  <c r="AF14" i="5"/>
  <c r="AE15" i="5" s="1"/>
  <c r="L12" i="4"/>
  <c r="J13" i="4"/>
  <c r="L28" i="3"/>
  <c r="J29" i="3"/>
  <c r="M12" i="3"/>
  <c r="K13" i="3"/>
  <c r="P4" i="9" l="1"/>
  <c r="N6" i="9"/>
  <c r="N22" i="9"/>
  <c r="N18" i="9"/>
  <c r="N21" i="9"/>
  <c r="N7" i="9"/>
  <c r="N11" i="9"/>
  <c r="N17" i="9"/>
  <c r="N19" i="9"/>
  <c r="N8" i="9"/>
  <c r="N20" i="9"/>
  <c r="N9" i="9"/>
  <c r="N10" i="9"/>
  <c r="T15" i="8"/>
  <c r="V14" i="8"/>
  <c r="V30" i="8"/>
  <c r="T31" i="8"/>
  <c r="AG14" i="5"/>
  <c r="AF15" i="5" s="1"/>
  <c r="AI30" i="5"/>
  <c r="AH31" i="5" s="1"/>
  <c r="M12" i="4"/>
  <c r="K13" i="4"/>
  <c r="M28" i="3"/>
  <c r="K29" i="3"/>
  <c r="N12" i="3"/>
  <c r="L13" i="3"/>
  <c r="Q4" i="9" l="1"/>
  <c r="O6" i="9"/>
  <c r="O7" i="9"/>
  <c r="O22" i="9"/>
  <c r="O11" i="9"/>
  <c r="O19" i="9"/>
  <c r="O21" i="9"/>
  <c r="O17" i="9"/>
  <c r="O18" i="9"/>
  <c r="O20" i="9"/>
  <c r="O8" i="9"/>
  <c r="O9" i="9"/>
  <c r="O10" i="9"/>
  <c r="U15" i="8"/>
  <c r="W14" i="8"/>
  <c r="U31" i="8"/>
  <c r="W30" i="8"/>
  <c r="AJ30" i="5"/>
  <c r="AI31" i="5" s="1"/>
  <c r="AH14" i="5"/>
  <c r="AG15" i="5" s="1"/>
  <c r="L13" i="4"/>
  <c r="N12" i="4"/>
  <c r="L29" i="3"/>
  <c r="N28" i="3"/>
  <c r="O12" i="3"/>
  <c r="M13" i="3"/>
  <c r="R4" i="9" l="1"/>
  <c r="P6" i="9"/>
  <c r="P22" i="9"/>
  <c r="P7" i="9"/>
  <c r="P19" i="9"/>
  <c r="P11" i="9"/>
  <c r="P21" i="9"/>
  <c r="P17" i="9"/>
  <c r="P20" i="9"/>
  <c r="P18" i="9"/>
  <c r="P8" i="9"/>
  <c r="P9" i="9"/>
  <c r="P10" i="9"/>
  <c r="V15" i="8"/>
  <c r="X14" i="8"/>
  <c r="V31" i="8"/>
  <c r="X30" i="8"/>
  <c r="AI14" i="5"/>
  <c r="AH15" i="5" s="1"/>
  <c r="AK30" i="5"/>
  <c r="AJ31" i="5" s="1"/>
  <c r="M13" i="4"/>
  <c r="O12" i="4"/>
  <c r="M29" i="3"/>
  <c r="O28" i="3"/>
  <c r="P12" i="3"/>
  <c r="N13" i="3"/>
  <c r="S4" i="9" l="1"/>
  <c r="Q6" i="9"/>
  <c r="Q22" i="9"/>
  <c r="Q21" i="9"/>
  <c r="Q11" i="9"/>
  <c r="Q17" i="9"/>
  <c r="Q20" i="9"/>
  <c r="Q7" i="9"/>
  <c r="Q8" i="9"/>
  <c r="Q19" i="9"/>
  <c r="Q18" i="9"/>
  <c r="Q9" i="9"/>
  <c r="Q10" i="9"/>
  <c r="W15" i="8"/>
  <c r="Y14" i="8"/>
  <c r="W31" i="8"/>
  <c r="Y30" i="8"/>
  <c r="AL30" i="5"/>
  <c r="AK31" i="5" s="1"/>
  <c r="AJ14" i="5"/>
  <c r="AI15" i="5" s="1"/>
  <c r="P12" i="4"/>
  <c r="N13" i="4"/>
  <c r="P28" i="3"/>
  <c r="N29" i="3"/>
  <c r="Q12" i="3"/>
  <c r="O13" i="3"/>
  <c r="T4" i="9" l="1"/>
  <c r="R6" i="9"/>
  <c r="R11" i="9"/>
  <c r="R17" i="9"/>
  <c r="R20" i="9"/>
  <c r="R22" i="9"/>
  <c r="R21" i="9"/>
  <c r="R7" i="9"/>
  <c r="R18" i="9"/>
  <c r="R19" i="9"/>
  <c r="R8" i="9"/>
  <c r="R9" i="9"/>
  <c r="R10" i="9"/>
  <c r="X15" i="8"/>
  <c r="Z14" i="8"/>
  <c r="X31" i="8"/>
  <c r="Z30" i="8"/>
  <c r="AK14" i="5"/>
  <c r="AJ15" i="5" s="1"/>
  <c r="AM30" i="5"/>
  <c r="AL31" i="5" s="1"/>
  <c r="Q12" i="4"/>
  <c r="O13" i="4"/>
  <c r="Q28" i="3"/>
  <c r="O29" i="3"/>
  <c r="R12" i="3"/>
  <c r="P13" i="3"/>
  <c r="U4" i="9" l="1"/>
  <c r="S6" i="9"/>
  <c r="S17" i="9"/>
  <c r="S11" i="9"/>
  <c r="S21" i="9"/>
  <c r="S18" i="9"/>
  <c r="S19" i="9"/>
  <c r="S7" i="9"/>
  <c r="S22" i="9"/>
  <c r="S20" i="9"/>
  <c r="S8" i="9"/>
  <c r="S9" i="9"/>
  <c r="S10" i="9"/>
  <c r="Y15" i="8"/>
  <c r="AA14" i="8"/>
  <c r="Y31" i="8"/>
  <c r="AA30" i="8"/>
  <c r="AN30" i="5"/>
  <c r="AM31" i="5" s="1"/>
  <c r="AL14" i="5"/>
  <c r="AK15" i="5" s="1"/>
  <c r="P13" i="4"/>
  <c r="R12" i="4"/>
  <c r="P29" i="3"/>
  <c r="R28" i="3"/>
  <c r="S12" i="3"/>
  <c r="Q13" i="3"/>
  <c r="V4" i="9" l="1"/>
  <c r="T6" i="9"/>
  <c r="T22" i="9"/>
  <c r="T11" i="9"/>
  <c r="T21" i="9"/>
  <c r="T18" i="9"/>
  <c r="T7" i="9"/>
  <c r="T17" i="9"/>
  <c r="T20" i="9"/>
  <c r="T19" i="9"/>
  <c r="T8" i="9"/>
  <c r="T9" i="9"/>
  <c r="T10" i="9"/>
  <c r="Z15" i="8"/>
  <c r="AB14" i="8"/>
  <c r="Z31" i="8"/>
  <c r="AB30" i="8"/>
  <c r="AM14" i="5"/>
  <c r="AL15" i="5" s="1"/>
  <c r="AO30" i="5"/>
  <c r="AN31" i="5" s="1"/>
  <c r="Q13" i="4"/>
  <c r="S12" i="4"/>
  <c r="Q29" i="3"/>
  <c r="S28" i="3"/>
  <c r="T12" i="3"/>
  <c r="R13" i="3"/>
  <c r="W4" i="9" l="1"/>
  <c r="U21" i="9"/>
  <c r="U6" i="9"/>
  <c r="U11" i="9"/>
  <c r="U17" i="9"/>
  <c r="U7" i="9"/>
  <c r="U22" i="9"/>
  <c r="U20" i="9"/>
  <c r="U18" i="9"/>
  <c r="U8" i="9"/>
  <c r="U19" i="9"/>
  <c r="U9" i="9"/>
  <c r="U10" i="9"/>
  <c r="AA31" i="8"/>
  <c r="AC30" i="8"/>
  <c r="AA15" i="8"/>
  <c r="AC14" i="8"/>
  <c r="AP30" i="5"/>
  <c r="AO31" i="5" s="1"/>
  <c r="AN14" i="5"/>
  <c r="AM15" i="5" s="1"/>
  <c r="T12" i="4"/>
  <c r="R13" i="4"/>
  <c r="T28" i="3"/>
  <c r="R29" i="3"/>
  <c r="U12" i="3"/>
  <c r="S13" i="3"/>
  <c r="X4" i="9" l="1"/>
  <c r="V6" i="9"/>
  <c r="V18" i="9"/>
  <c r="V21" i="9"/>
  <c r="V22" i="9"/>
  <c r="V11" i="9"/>
  <c r="V7" i="9"/>
  <c r="V17" i="9"/>
  <c r="V8" i="9"/>
  <c r="V20" i="9"/>
  <c r="V19" i="9"/>
  <c r="V9" i="9"/>
  <c r="V10" i="9"/>
  <c r="AD30" i="8"/>
  <c r="AB31" i="8"/>
  <c r="AB15" i="8"/>
  <c r="AD14" i="8"/>
  <c r="AO14" i="5"/>
  <c r="AN15" i="5" s="1"/>
  <c r="AQ30" i="5"/>
  <c r="AP31" i="5" s="1"/>
  <c r="U12" i="4"/>
  <c r="S13" i="4"/>
  <c r="U28" i="3"/>
  <c r="S29" i="3"/>
  <c r="V12" i="3"/>
  <c r="T13" i="3"/>
  <c r="Y4" i="9" l="1"/>
  <c r="W22" i="9"/>
  <c r="W6" i="9"/>
  <c r="W11" i="9"/>
  <c r="W17" i="9"/>
  <c r="W21" i="9"/>
  <c r="W18" i="9"/>
  <c r="W7" i="9"/>
  <c r="W8" i="9"/>
  <c r="W19" i="9"/>
  <c r="W20" i="9"/>
  <c r="W9" i="9"/>
  <c r="W10" i="9"/>
  <c r="AC31" i="8"/>
  <c r="AE30" i="8"/>
  <c r="AC15" i="8"/>
  <c r="AE14" i="8"/>
  <c r="AR30" i="5"/>
  <c r="AQ31" i="5" s="1"/>
  <c r="AP14" i="5"/>
  <c r="AO15" i="5" s="1"/>
  <c r="T13" i="4"/>
  <c r="V12" i="4"/>
  <c r="T29" i="3"/>
  <c r="V28" i="3"/>
  <c r="W12" i="3"/>
  <c r="U13" i="3"/>
  <c r="Z4" i="9" l="1"/>
  <c r="X6" i="9"/>
  <c r="X11" i="9"/>
  <c r="X7" i="9"/>
  <c r="X21" i="9"/>
  <c r="X18" i="9"/>
  <c r="X17" i="9"/>
  <c r="X22" i="9"/>
  <c r="X20" i="9"/>
  <c r="X8" i="9"/>
  <c r="X19" i="9"/>
  <c r="X9" i="9"/>
  <c r="X10" i="9"/>
  <c r="AD31" i="8"/>
  <c r="AF30" i="8"/>
  <c r="AD15" i="8"/>
  <c r="AF14" i="8"/>
  <c r="AQ14" i="5"/>
  <c r="AP15" i="5" s="1"/>
  <c r="AS30" i="5"/>
  <c r="AR31" i="5" s="1"/>
  <c r="U13" i="4"/>
  <c r="W12" i="4"/>
  <c r="U29" i="3"/>
  <c r="W28" i="3"/>
  <c r="X12" i="3"/>
  <c r="V13" i="3"/>
  <c r="AA4" i="9" l="1"/>
  <c r="Y6" i="9"/>
  <c r="Y22" i="9"/>
  <c r="Y11" i="9"/>
  <c r="Y17" i="9"/>
  <c r="Y21" i="9"/>
  <c r="Y7" i="9"/>
  <c r="Y19" i="9"/>
  <c r="Y18" i="9"/>
  <c r="Y8" i="9"/>
  <c r="Y20" i="9"/>
  <c r="Y9" i="9"/>
  <c r="Y10" i="9"/>
  <c r="AE31" i="8"/>
  <c r="AG30" i="8"/>
  <c r="AE15" i="8"/>
  <c r="AG14" i="8"/>
  <c r="AT30" i="5"/>
  <c r="AS31" i="5" s="1"/>
  <c r="AR14" i="5"/>
  <c r="AQ15" i="5" s="1"/>
  <c r="X12" i="4"/>
  <c r="V13" i="4"/>
  <c r="X28" i="3"/>
  <c r="V29" i="3"/>
  <c r="Y12" i="3"/>
  <c r="W13" i="3"/>
  <c r="AB4" i="9" l="1"/>
  <c r="Z6" i="9"/>
  <c r="Z21" i="9"/>
  <c r="Z22" i="9"/>
  <c r="Z17" i="9"/>
  <c r="Z7" i="9"/>
  <c r="Z11" i="9"/>
  <c r="Z20" i="9"/>
  <c r="Z18" i="9"/>
  <c r="Z8" i="9"/>
  <c r="Z19" i="9"/>
  <c r="Z9" i="9"/>
  <c r="Z10" i="9"/>
  <c r="AF31" i="8"/>
  <c r="AH30" i="8"/>
  <c r="AF15" i="8"/>
  <c r="AH14" i="8"/>
  <c r="AS14" i="5"/>
  <c r="AR15" i="5" s="1"/>
  <c r="AU30" i="5"/>
  <c r="AT31" i="5" s="1"/>
  <c r="Y12" i="4"/>
  <c r="W13" i="4"/>
  <c r="Y28" i="3"/>
  <c r="W29" i="3"/>
  <c r="Z12" i="3"/>
  <c r="X13" i="3"/>
  <c r="AC4" i="9" l="1"/>
  <c r="AA6" i="9"/>
  <c r="AA20" i="9"/>
  <c r="AA17" i="9"/>
  <c r="AA7" i="9"/>
  <c r="AA22" i="9"/>
  <c r="AA11" i="9"/>
  <c r="AA21" i="9"/>
  <c r="AA18" i="9"/>
  <c r="AA19" i="9"/>
  <c r="AA8" i="9"/>
  <c r="AA9" i="9"/>
  <c r="AA10" i="9"/>
  <c r="AG31" i="8"/>
  <c r="AI30" i="8"/>
  <c r="AG15" i="8"/>
  <c r="AI14" i="8"/>
  <c r="AV30" i="5"/>
  <c r="AU31" i="5" s="1"/>
  <c r="AT14" i="5"/>
  <c r="AS15" i="5" s="1"/>
  <c r="X13" i="4"/>
  <c r="Z12" i="4"/>
  <c r="X29" i="3"/>
  <c r="Z28" i="3"/>
  <c r="AA12" i="3"/>
  <c r="Y13" i="3"/>
  <c r="AD4" i="9" l="1"/>
  <c r="AB22" i="9"/>
  <c r="AB6" i="9"/>
  <c r="AB17" i="9"/>
  <c r="AB7" i="9"/>
  <c r="AB11" i="9"/>
  <c r="AB21" i="9"/>
  <c r="AB20" i="9"/>
  <c r="AB19" i="9"/>
  <c r="AB8" i="9"/>
  <c r="AB18" i="9"/>
  <c r="AB9" i="9"/>
  <c r="AB10" i="9"/>
  <c r="AH31" i="8"/>
  <c r="AJ30" i="8"/>
  <c r="AH15" i="8"/>
  <c r="AJ14" i="8"/>
  <c r="AU14" i="5"/>
  <c r="AT15" i="5" s="1"/>
  <c r="AW30" i="5"/>
  <c r="AV31" i="5" s="1"/>
  <c r="Y13" i="4"/>
  <c r="AA12" i="4"/>
  <c r="Y29" i="3"/>
  <c r="AA28" i="3"/>
  <c r="AB12" i="3"/>
  <c r="Z13" i="3"/>
  <c r="AE4" i="9" l="1"/>
  <c r="AC21" i="9"/>
  <c r="AC6" i="9"/>
  <c r="AC7" i="9"/>
  <c r="AC22" i="9"/>
  <c r="AC11" i="9"/>
  <c r="AC17" i="9"/>
  <c r="AC20" i="9"/>
  <c r="AC19" i="9"/>
  <c r="AC18" i="9"/>
  <c r="AC8" i="9"/>
  <c r="AC9" i="9"/>
  <c r="AC10" i="9"/>
  <c r="AI31" i="8"/>
  <c r="AK30" i="8"/>
  <c r="AI15" i="8"/>
  <c r="AK14" i="8"/>
  <c r="AX30" i="5"/>
  <c r="AW31" i="5" s="1"/>
  <c r="AV14" i="5"/>
  <c r="AU15" i="5" s="1"/>
  <c r="AB12" i="4"/>
  <c r="Z13" i="4"/>
  <c r="AB28" i="3"/>
  <c r="Z29" i="3"/>
  <c r="AC12" i="3"/>
  <c r="AA13" i="3"/>
  <c r="AF4" i="9" l="1"/>
  <c r="AD6" i="9"/>
  <c r="AD22" i="9"/>
  <c r="AD21" i="9"/>
  <c r="AD7" i="9"/>
  <c r="AD11" i="9"/>
  <c r="AD17" i="9"/>
  <c r="AD19" i="9"/>
  <c r="AD20" i="9"/>
  <c r="AD18" i="9"/>
  <c r="AD8" i="9"/>
  <c r="AD9" i="9"/>
  <c r="AD10" i="9"/>
  <c r="AL30" i="8"/>
  <c r="AJ31" i="8"/>
  <c r="AJ15" i="8"/>
  <c r="AL14" i="8"/>
  <c r="AW14" i="5"/>
  <c r="AV15" i="5" s="1"/>
  <c r="AY30" i="5"/>
  <c r="AX31" i="5" s="1"/>
  <c r="AC12" i="4"/>
  <c r="AA13" i="4"/>
  <c r="AC28" i="3"/>
  <c r="AA29" i="3"/>
  <c r="AD12" i="3"/>
  <c r="AB13" i="3"/>
  <c r="AG4" i="9" l="1"/>
  <c r="AE6" i="9"/>
  <c r="AE11" i="9"/>
  <c r="AE17" i="9"/>
  <c r="AE21" i="9"/>
  <c r="AE22" i="9"/>
  <c r="AE7" i="9"/>
  <c r="AE19" i="9"/>
  <c r="AE18" i="9"/>
  <c r="AE20" i="9"/>
  <c r="AE8" i="9"/>
  <c r="AE9" i="9"/>
  <c r="AE10" i="9"/>
  <c r="AK31" i="8"/>
  <c r="AM30" i="8"/>
  <c r="AK15" i="8"/>
  <c r="AM14" i="8"/>
  <c r="AZ30" i="5"/>
  <c r="AY31" i="5" s="1"/>
  <c r="AX14" i="5"/>
  <c r="AW15" i="5" s="1"/>
  <c r="AB13" i="4"/>
  <c r="AD12" i="4"/>
  <c r="AB29" i="3"/>
  <c r="AD28" i="3"/>
  <c r="AE12" i="3"/>
  <c r="AC13" i="3"/>
  <c r="AH4" i="9" l="1"/>
  <c r="AF6" i="9"/>
  <c r="AF7" i="9"/>
  <c r="AF22" i="9"/>
  <c r="AF17" i="9"/>
  <c r="AF11" i="9"/>
  <c r="AF19" i="9"/>
  <c r="AF21" i="9"/>
  <c r="AF20" i="9"/>
  <c r="AF8" i="9"/>
  <c r="AF18" i="9"/>
  <c r="AF9" i="9"/>
  <c r="AF10" i="9"/>
  <c r="AL15" i="8"/>
  <c r="AN14" i="8"/>
  <c r="AL31" i="8"/>
  <c r="AN30" i="8"/>
  <c r="AY14" i="5"/>
  <c r="AX15" i="5" s="1"/>
  <c r="BA30" i="5"/>
  <c r="AZ31" i="5" s="1"/>
  <c r="AC13" i="4"/>
  <c r="AE12" i="4"/>
  <c r="AC29" i="3"/>
  <c r="AE28" i="3"/>
  <c r="AF12" i="3"/>
  <c r="AD13" i="3"/>
  <c r="AI4" i="9" l="1"/>
  <c r="AG22" i="9"/>
  <c r="AG6" i="9"/>
  <c r="AG11" i="9"/>
  <c r="AG21" i="9"/>
  <c r="AG17" i="9"/>
  <c r="AG18" i="9"/>
  <c r="AG7" i="9"/>
  <c r="AG8" i="9"/>
  <c r="AG20" i="9"/>
  <c r="AG19" i="9"/>
  <c r="AG9" i="9"/>
  <c r="AG10" i="9"/>
  <c r="AM31" i="8"/>
  <c r="AO30" i="8"/>
  <c r="AM15" i="8"/>
  <c r="AO14" i="8"/>
  <c r="AZ14" i="5"/>
  <c r="AY15" i="5" s="1"/>
  <c r="BB30" i="5"/>
  <c r="BA31" i="5" s="1"/>
  <c r="AF12" i="4"/>
  <c r="AD13" i="4"/>
  <c r="AF28" i="3"/>
  <c r="AD29" i="3"/>
  <c r="AG12" i="3"/>
  <c r="AE13" i="3"/>
  <c r="AJ4" i="9" l="1"/>
  <c r="AH6" i="9"/>
  <c r="AH17" i="9"/>
  <c r="AH18" i="9"/>
  <c r="AH22" i="9"/>
  <c r="AH11" i="9"/>
  <c r="AH21" i="9"/>
  <c r="AH7" i="9"/>
  <c r="AH20" i="9"/>
  <c r="AH19" i="9"/>
  <c r="AH8" i="9"/>
  <c r="AH9" i="9"/>
  <c r="AH10" i="9"/>
  <c r="AN15" i="8"/>
  <c r="AP14" i="8"/>
  <c r="AN31" i="8"/>
  <c r="AP30" i="8"/>
  <c r="BC30" i="5"/>
  <c r="BA14" i="5"/>
  <c r="AZ15" i="5" s="1"/>
  <c r="AG12" i="4"/>
  <c r="AE13" i="4"/>
  <c r="AG28" i="3"/>
  <c r="AE29" i="3"/>
  <c r="AH12" i="3"/>
  <c r="AF13" i="3"/>
  <c r="BB31" i="5" l="1"/>
  <c r="BC31" i="5"/>
  <c r="AK4" i="9"/>
  <c r="AI6" i="9"/>
  <c r="AI22" i="9"/>
  <c r="AI11" i="9"/>
  <c r="AI17" i="9"/>
  <c r="AI21" i="9"/>
  <c r="AI18" i="9"/>
  <c r="AI7" i="9"/>
  <c r="AI20" i="9"/>
  <c r="AI19" i="9"/>
  <c r="AI8" i="9"/>
  <c r="AI9" i="9"/>
  <c r="AI10" i="9"/>
  <c r="AO31" i="8"/>
  <c r="AQ30" i="8"/>
  <c r="AO15" i="8"/>
  <c r="AQ14" i="8"/>
  <c r="BB14" i="5"/>
  <c r="BA15" i="5" s="1"/>
  <c r="AF13" i="4"/>
  <c r="AH12" i="4"/>
  <c r="AF29" i="3"/>
  <c r="AH28" i="3"/>
  <c r="AI12" i="3"/>
  <c r="AG13" i="3"/>
  <c r="AL4" i="9" l="1"/>
  <c r="AJ6" i="9"/>
  <c r="AJ11" i="9"/>
  <c r="AJ21" i="9"/>
  <c r="AJ22" i="9"/>
  <c r="AJ17" i="9"/>
  <c r="AJ19" i="9"/>
  <c r="AJ18" i="9"/>
  <c r="AJ7" i="9"/>
  <c r="AJ20" i="9"/>
  <c r="AJ8" i="9"/>
  <c r="AJ9" i="9"/>
  <c r="AJ10" i="9"/>
  <c r="AP15" i="8"/>
  <c r="AR14" i="8"/>
  <c r="AP31" i="8"/>
  <c r="AR30" i="8"/>
  <c r="BC14" i="5"/>
  <c r="AG13" i="4"/>
  <c r="AI12" i="4"/>
  <c r="AG29" i="3"/>
  <c r="AI28" i="3"/>
  <c r="AH13" i="3"/>
  <c r="AI13" i="3"/>
  <c r="BB15" i="5" l="1"/>
  <c r="BC15" i="5"/>
  <c r="AL6" i="9"/>
  <c r="AK6" i="9"/>
  <c r="AK22" i="9"/>
  <c r="AL11" i="9"/>
  <c r="AK11" i="9"/>
  <c r="AK17" i="9"/>
  <c r="AL22" i="9"/>
  <c r="F22" i="9" s="1"/>
  <c r="AK18" i="9"/>
  <c r="AL21" i="9"/>
  <c r="F21" i="9" s="1"/>
  <c r="AL17" i="9"/>
  <c r="F17" i="9" s="1"/>
  <c r="AK21" i="9"/>
  <c r="AL7" i="9"/>
  <c r="AK7" i="9"/>
  <c r="AL18" i="9"/>
  <c r="F18" i="9" s="1"/>
  <c r="AK19" i="9"/>
  <c r="AL8" i="9"/>
  <c r="AK20" i="9"/>
  <c r="AL19" i="9"/>
  <c r="F19" i="9" s="1"/>
  <c r="AL20" i="9"/>
  <c r="AK8" i="9"/>
  <c r="AK9" i="9"/>
  <c r="AL9" i="9"/>
  <c r="F9" i="9" s="1"/>
  <c r="AK10" i="9"/>
  <c r="AL10" i="9"/>
  <c r="F10" i="9" s="1"/>
  <c r="AQ31" i="8"/>
  <c r="AR31" i="8"/>
  <c r="AQ15" i="8"/>
  <c r="AR15" i="8"/>
  <c r="AH13" i="4"/>
  <c r="AI13" i="4"/>
  <c r="AH29" i="3"/>
  <c r="AI29" i="3"/>
  <c r="F7" i="9" l="1"/>
  <c r="F11" i="9"/>
  <c r="F6" i="9"/>
  <c r="F8" i="9"/>
  <c r="F20" i="9"/>
</calcChain>
</file>

<file path=xl/sharedStrings.xml><?xml version="1.0" encoding="utf-8"?>
<sst xmlns="http://schemas.openxmlformats.org/spreadsheetml/2006/main" count="336" uniqueCount="120">
  <si>
    <t>Qualifikation im Block I (Qualifikationsbereich)</t>
  </si>
  <si>
    <t>Fachkombination:</t>
  </si>
  <si>
    <t>(FS / D / GW - 4 PFer - 4.PF: M o. NW)</t>
  </si>
  <si>
    <t>Status</t>
  </si>
  <si>
    <t>Fach</t>
  </si>
  <si>
    <t>PF</t>
  </si>
  <si>
    <t>Punktzahlen der Kurse</t>
  </si>
  <si>
    <t>Anzahl eingebr.</t>
  </si>
  <si>
    <t>Faktor</t>
  </si>
  <si>
    <t>Summe</t>
  </si>
  <si>
    <t>Bedingungen an die Kurse:</t>
  </si>
  <si>
    <t>11/2</t>
  </si>
  <si>
    <t>12/1</t>
  </si>
  <si>
    <t>12/2</t>
  </si>
  <si>
    <t>13</t>
  </si>
  <si>
    <t>Kurse</t>
  </si>
  <si>
    <t>Einzubringen:</t>
  </si>
  <si>
    <t>1.LF</t>
  </si>
  <si>
    <t>E</t>
  </si>
  <si>
    <t>1.</t>
  </si>
  <si>
    <t>LK1</t>
  </si>
  <si>
    <t>2.LF</t>
  </si>
  <si>
    <t>D</t>
  </si>
  <si>
    <t>2.</t>
  </si>
  <si>
    <t>LK2</t>
  </si>
  <si>
    <t>3.LF</t>
  </si>
  <si>
    <t>G</t>
  </si>
  <si>
    <t>3.</t>
  </si>
  <si>
    <t>LK3</t>
  </si>
  <si>
    <t>1.GF</t>
  </si>
  <si>
    <t>bi</t>
  </si>
  <si>
    <t>4.</t>
  </si>
  <si>
    <t>4.PF</t>
  </si>
  <si>
    <t>2.GF</t>
  </si>
  <si>
    <t>m</t>
  </si>
  <si>
    <t>ggf. 5.PF</t>
  </si>
  <si>
    <t>3.GF:</t>
  </si>
  <si>
    <t>l</t>
  </si>
  <si>
    <t>insges. 35 Kurse, darunter:</t>
  </si>
  <si>
    <t>4.GF:</t>
  </si>
  <si>
    <t>sk/ek</t>
  </si>
  <si>
    <t>(5)</t>
  </si>
  <si>
    <t>Deutsch</t>
  </si>
  <si>
    <t>5.GF:</t>
  </si>
  <si>
    <t>mu</t>
  </si>
  <si>
    <t>(6)</t>
  </si>
  <si>
    <t>fortgef. FS</t>
  </si>
  <si>
    <t>6.GF:</t>
  </si>
  <si>
    <t>er</t>
  </si>
  <si>
    <t>Mathematik</t>
  </si>
  <si>
    <t>7.GF:</t>
  </si>
  <si>
    <t>sp</t>
  </si>
  <si>
    <t>(7)</t>
  </si>
  <si>
    <t>NW</t>
  </si>
  <si>
    <t>1.fak.F:</t>
  </si>
  <si>
    <t>if</t>
  </si>
  <si>
    <t>(3)</t>
  </si>
  <si>
    <t xml:space="preserve">2. FS oder 2. NW oder If in 13 </t>
  </si>
  <si>
    <t>FA</t>
  </si>
  <si>
    <t>künstler. Fach</t>
  </si>
  <si>
    <t>Punktsumme aus 35 Kursen und ggf. FA:</t>
  </si>
  <si>
    <t xml:space="preserve">P = </t>
  </si>
  <si>
    <t>| * 40</t>
  </si>
  <si>
    <t>| : 44</t>
  </si>
  <si>
    <t>(mindestens (35*05 + 8*05 + 1*05)*40/44 = 220*40/44 = 200 Punkte,</t>
  </si>
  <si>
    <t>| Runden</t>
  </si>
  <si>
    <t xml:space="preserve"> höchstens (35*15 + 8*15 + 1*15)*40/44 = 660*40/44 = 600 Punkte)</t>
  </si>
  <si>
    <t xml:space="preserve">EI = </t>
  </si>
  <si>
    <t>Weitere Bedingungen:</t>
  </si>
  <si>
    <t>- kein Kurs mit 00 Punkten</t>
  </si>
  <si>
    <t>- hö. 7 Kurse mit weniger als 5 Punkten</t>
  </si>
  <si>
    <t>Ggf. Warnhinweise:</t>
  </si>
  <si>
    <t>(5.)</t>
  </si>
  <si>
    <t>Qualifikation im Block II (Prüfungsbereich)</t>
  </si>
  <si>
    <t>Punktzahlen</t>
  </si>
  <si>
    <t>Prüfungsergebnis</t>
  </si>
  <si>
    <t>Faktor o. 5.PF &amp; o. BLL</t>
  </si>
  <si>
    <t>Faktor m. 5.PF o. m. BLL</t>
  </si>
  <si>
    <t>schriftl.</t>
  </si>
  <si>
    <t>mündl.</t>
  </si>
  <si>
    <t>4 Fälle möglich:</t>
  </si>
  <si>
    <t>Faktor dann:</t>
  </si>
  <si>
    <t>4 PFer o. BLL</t>
  </si>
  <si>
    <t>4 PFer m. BLL</t>
  </si>
  <si>
    <t>5 PFer o. BLL</t>
  </si>
  <si>
    <t>5.PF</t>
  </si>
  <si>
    <t>5 PFer &amp; 4. o. 5.PF durch BLL ersetzt</t>
  </si>
  <si>
    <t>BLL</t>
  </si>
  <si>
    <t>BLL als frw. 5.PF o. bei 5 PFern als Ersatz für 4. o. 5.PF im entspr. Fach möglich</t>
  </si>
  <si>
    <t>Punktsumme:</t>
  </si>
  <si>
    <t>(mindestens (4*05*5 = 5*05*4 = 100 Punkte,</t>
  </si>
  <si>
    <t xml:space="preserve"> höchstens (4*15*5 = 5*15*4 = 300 Punkte)</t>
  </si>
  <si>
    <t xml:space="preserve">- bei 4 Prüfungsfächern: </t>
  </si>
  <si>
    <t xml:space="preserve">  in mind. 2 Fächern mind. 05 Punkte</t>
  </si>
  <si>
    <t xml:space="preserve">- bei 5 Prüfungsfächern: </t>
  </si>
  <si>
    <t xml:space="preserve">  in mind. 3 Fächern mind. 05 Punkte</t>
  </si>
  <si>
    <t>Berechnung der Durchschnittsnote:</t>
  </si>
  <si>
    <t>Ergebnis Block I:</t>
  </si>
  <si>
    <t>Ergebnis Block II:</t>
  </si>
  <si>
    <t>Durchschnittsnote:</t>
  </si>
  <si>
    <t>Gesamtqualifikation:</t>
  </si>
  <si>
    <t>--------------------------------------------------------------------</t>
  </si>
  <si>
    <t>(Ergebnisübernahme aus den vorigen Tabellenblättern)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</si>
  <si>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</si>
  <si>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(für Direkteintragung ohne Ergebnisübernahme aus den vorigen Tabellenblättern)</t>
  </si>
  <si>
    <r>
      <rPr>
        <b/>
        <sz val="10"/>
        <color rgb="FFCC0099"/>
        <rFont val="Symbol"/>
        <family val="1"/>
        <charset val="2"/>
      </rPr>
      <t>¬</t>
    </r>
    <r>
      <rPr>
        <b/>
        <sz val="10"/>
        <color rgb="FFCC0099"/>
        <rFont val="Arial"/>
        <family val="2"/>
      </rPr>
      <t xml:space="preserve"> als Beispiel</t>
    </r>
  </si>
  <si>
    <t>(für Direkteintragung ohne Ergebnisübernahme)</t>
  </si>
  <si>
    <t>(Ergebnisübernahme aus Block I und II)</t>
  </si>
  <si>
    <t>Abi-Rechner SGG (© Mr; Angaben und Rechnungen ohne Gewähr)</t>
  </si>
  <si>
    <t>MA-Rechner SGG (© Mr; Angaben und Rechnungen ohne Gewähr)</t>
  </si>
  <si>
    <t>Neue GPZ</t>
  </si>
  <si>
    <r>
      <t xml:space="preserve">mö. </t>
    </r>
    <r>
      <rPr>
        <sz val="10"/>
        <rFont val="Symbol"/>
        <family val="1"/>
        <charset val="2"/>
      </rPr>
      <t>Æ</t>
    </r>
  </si>
  <si>
    <t>Berechnung der nötigen Punkte zur Durchschnittsverbesserung (© Mr; Angaben und Rechnungen ohne Gewähr)</t>
  </si>
  <si>
    <t>Bish.
GPZ</t>
  </si>
  <si>
    <t>Punkte 4./5.PF</t>
  </si>
  <si>
    <t>Schüler 1</t>
  </si>
  <si>
    <t>Schüler 2</t>
  </si>
  <si>
    <t>5PFer o. BLL?</t>
  </si>
  <si>
    <t>n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</si>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</sst>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CC0099"/>
      <name val="Arial"/>
      <family val="2"/>
    </font>
    <font>
      <sz val="10"/>
      <color rgb="FFCC009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0000FF"/>
      <name val="Arial"/>
      <family val="2"/>
    </font>
    <font>
      <i/>
      <sz val="10"/>
      <color rgb="FF0000CC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i/>
      <sz val="10"/>
      <color rgb="FFCC0099"/>
      <name val="Arial"/>
      <family val="2"/>
    </font>
    <font>
      <i/>
      <sz val="10"/>
      <color rgb="FFFF0066"/>
      <name val="Arial"/>
      <family val="2"/>
    </font>
    <font>
      <i/>
      <sz val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Symbol"/>
      <family val="1"/>
      <charset val="2"/>
    </font>
    <font>
      <b/>
      <sz val="10"/>
      <color rgb="FFCC0099"/>
      <name val="Symbol"/>
      <family val="1"/>
      <charset val="2"/>
    </font>
    <font>
      <b/>
      <sz val="1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i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" fontId="5" fillId="0" borderId="0" xfId="0" quotePrefix="1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4" borderId="1" xfId="0" quotePrefix="1" applyFont="1" applyFill="1" applyBorder="1" applyAlignment="1">
      <alignment horizontal="center"/>
    </xf>
    <xf numFmtId="0" fontId="1" fillId="0" borderId="0" xfId="0" applyFont="1" applyFill="1"/>
    <xf numFmtId="0" fontId="7" fillId="0" borderId="0" xfId="0" quotePrefix="1" applyFont="1" applyAlignment="1">
      <alignment horizontal="center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5" borderId="1" xfId="0" quotePrefix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/>
    <xf numFmtId="0" fontId="11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" fillId="0" borderId="0" xfId="0" quotePrefix="1" applyFont="1"/>
    <xf numFmtId="0" fontId="0" fillId="0" borderId="0" xfId="0" quotePrefix="1"/>
    <xf numFmtId="0" fontId="12" fillId="0" borderId="2" xfId="0" applyFont="1" applyBorder="1"/>
    <xf numFmtId="0" fontId="0" fillId="0" borderId="3" xfId="0" applyBorder="1"/>
    <xf numFmtId="0" fontId="0" fillId="0" borderId="4" xfId="0" applyBorder="1"/>
    <xf numFmtId="0" fontId="12" fillId="0" borderId="5" xfId="0" applyFont="1" applyBorder="1"/>
    <xf numFmtId="0" fontId="0" fillId="0" borderId="0" xfId="0" applyBorder="1"/>
    <xf numFmtId="0" fontId="0" fillId="0" borderId="6" xfId="0" applyBorder="1"/>
    <xf numFmtId="0" fontId="12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0" xfId="1" applyFont="1"/>
    <xf numFmtId="0" fontId="13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16" fontId="6" fillId="0" borderId="0" xfId="1" applyNumberFormat="1" applyFont="1" applyAlignment="1">
      <alignment horizontal="center"/>
    </xf>
    <xf numFmtId="16" fontId="5" fillId="0" borderId="0" xfId="1" applyNumberFormat="1" applyFont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8" fillId="3" borderId="1" xfId="1" quotePrefix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0" fontId="14" fillId="0" borderId="0" xfId="1" applyFont="1"/>
    <xf numFmtId="0" fontId="14" fillId="0" borderId="0" xfId="1" applyFont="1" applyAlignment="1">
      <alignment horizontal="center"/>
    </xf>
    <xf numFmtId="0" fontId="6" fillId="0" borderId="0" xfId="1" applyFont="1" applyFill="1" applyBorder="1" applyAlignment="1">
      <alignment horizontal="left"/>
    </xf>
    <xf numFmtId="0" fontId="7" fillId="7" borderId="0" xfId="1" applyFont="1" applyFill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15" fillId="0" borderId="0" xfId="1" applyFont="1" applyFill="1" applyBorder="1" applyAlignment="1">
      <alignment horizontal="right"/>
    </xf>
    <xf numFmtId="0" fontId="8" fillId="0" borderId="0" xfId="1" applyFont="1"/>
    <xf numFmtId="0" fontId="13" fillId="0" borderId="0" xfId="1" applyBorder="1"/>
    <xf numFmtId="0" fontId="11" fillId="3" borderId="1" xfId="1" applyFont="1" applyFill="1" applyBorder="1" applyAlignment="1">
      <alignment horizontal="center"/>
    </xf>
    <xf numFmtId="0" fontId="16" fillId="0" borderId="0" xfId="1" quotePrefix="1" applyFont="1" applyFill="1" applyBorder="1" applyAlignment="1">
      <alignment horizontal="left"/>
    </xf>
    <xf numFmtId="0" fontId="1" fillId="0" borderId="0" xfId="1" quotePrefix="1" applyFont="1"/>
    <xf numFmtId="0" fontId="13" fillId="0" borderId="0" xfId="1" quotePrefix="1"/>
    <xf numFmtId="0" fontId="2" fillId="0" borderId="0" xfId="0" applyFont="1" applyFill="1"/>
    <xf numFmtId="0" fontId="17" fillId="0" borderId="0" xfId="0" applyFont="1" applyFill="1"/>
    <xf numFmtId="0" fontId="0" fillId="0" borderId="0" xfId="0" quotePrefix="1" applyFont="1"/>
    <xf numFmtId="164" fontId="19" fillId="0" borderId="1" xfId="1" applyNumberFormat="1" applyFont="1" applyBorder="1" applyAlignment="1">
      <alignment horizontal="center"/>
    </xf>
    <xf numFmtId="0" fontId="19" fillId="0" borderId="1" xfId="1" applyFont="1" applyBorder="1"/>
    <xf numFmtId="164" fontId="19" fillId="0" borderId="1" xfId="1" applyNumberFormat="1" applyFont="1" applyBorder="1"/>
    <xf numFmtId="0" fontId="12" fillId="8" borderId="1" xfId="0" applyFont="1" applyFill="1" applyBorder="1" applyAlignment="1">
      <alignment horizontal="center"/>
    </xf>
    <xf numFmtId="0" fontId="20" fillId="0" borderId="1" xfId="0" applyFont="1" applyBorder="1"/>
    <xf numFmtId="0" fontId="1" fillId="0" borderId="0" xfId="1" applyFont="1"/>
    <xf numFmtId="0" fontId="0" fillId="0" borderId="0" xfId="1" applyFont="1"/>
    <xf numFmtId="0" fontId="7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9" borderId="0" xfId="0" applyFill="1"/>
    <xf numFmtId="0" fontId="17" fillId="8" borderId="1" xfId="0" applyFont="1" applyFill="1" applyBorder="1"/>
    <xf numFmtId="0" fontId="18" fillId="8" borderId="10" xfId="0" applyFont="1" applyFill="1" applyBorder="1"/>
    <xf numFmtId="0" fontId="18" fillId="8" borderId="11" xfId="0" applyFont="1" applyFill="1" applyBorder="1"/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21" fillId="0" borderId="0" xfId="2" applyFont="1"/>
    <xf numFmtId="164" fontId="1" fillId="0" borderId="0" xfId="2" applyNumberFormat="1" applyAlignment="1">
      <alignment horizontal="center"/>
    </xf>
    <xf numFmtId="0" fontId="1" fillId="0" borderId="0" xfId="2"/>
    <xf numFmtId="0" fontId="24" fillId="0" borderId="1" xfId="2" applyFont="1" applyBorder="1"/>
    <xf numFmtId="164" fontId="21" fillId="0" borderId="1" xfId="2" applyNumberFormat="1" applyFont="1" applyBorder="1" applyAlignment="1">
      <alignment horizontal="center"/>
    </xf>
    <xf numFmtId="0" fontId="1" fillId="0" borderId="0" xfId="2" applyAlignment="1">
      <alignment horizontal="center"/>
    </xf>
    <xf numFmtId="0" fontId="1" fillId="8" borderId="10" xfId="2" applyFill="1" applyBorder="1"/>
    <xf numFmtId="0" fontId="1" fillId="8" borderId="10" xfId="2" applyFill="1" applyBorder="1" applyAlignment="1">
      <alignment horizontal="center"/>
    </xf>
    <xf numFmtId="0" fontId="1" fillId="8" borderId="11" xfId="2" applyFill="1" applyBorder="1"/>
    <xf numFmtId="0" fontId="17" fillId="8" borderId="12" xfId="2" applyFont="1" applyFill="1" applyBorder="1"/>
    <xf numFmtId="0" fontId="21" fillId="0" borderId="1" xfId="2" applyFont="1" applyBorder="1" applyAlignment="1">
      <alignment vertical="center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164" fontId="19" fillId="0" borderId="1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" fillId="0" borderId="0" xfId="2" applyAlignment="1">
      <alignment vertical="center"/>
    </xf>
    <xf numFmtId="164" fontId="12" fillId="8" borderId="1" xfId="0" applyNumberFormat="1" applyFont="1" applyFill="1" applyBorder="1" applyAlignment="1">
      <alignment horizontal="center"/>
    </xf>
    <xf numFmtId="0" fontId="26" fillId="8" borderId="1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164" fontId="21" fillId="0" borderId="0" xfId="2" applyNumberFormat="1" applyFont="1" applyBorder="1" applyAlignment="1">
      <alignment horizontal="center"/>
    </xf>
    <xf numFmtId="164" fontId="19" fillId="0" borderId="0" xfId="1" applyNumberFormat="1" applyFont="1" applyBorder="1"/>
    <xf numFmtId="0" fontId="25" fillId="0" borderId="1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2" fillId="0" borderId="5" xfId="0" applyFont="1" applyBorder="1"/>
    <xf numFmtId="0" fontId="12" fillId="0" borderId="7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13" fillId="0" borderId="0" xfId="1" applyAlignment="1">
      <alignment horizontal="center"/>
    </xf>
  </cellXfs>
  <cellStyles count="3">
    <cellStyle name="Standard" xfId="0" builtinId="0"/>
    <cellStyle name="Standard 2" xfId="1"/>
    <cellStyle name="Standard 2 2" xfId="2"/>
  </cellStyles>
  <dxfs count="8">
    <dxf>
      <font>
        <b/>
        <i/>
        <color rgb="FFCC0099"/>
        <name val="Cambria"/>
        <scheme val="none"/>
      </font>
    </dxf>
    <dxf>
      <font>
        <b/>
        <i/>
        <color rgb="FFCC0099"/>
        <name val="Cambria"/>
        <scheme val="none"/>
      </font>
    </dxf>
    <dxf>
      <fill>
        <patternFill>
          <bgColor rgb="FFFFFF00"/>
        </patternFill>
      </fill>
    </dxf>
    <dxf>
      <font>
        <b/>
        <i/>
        <color rgb="FFCC0099"/>
        <name val="Cambria"/>
        <scheme val="none"/>
      </font>
    </dxf>
    <dxf>
      <font>
        <b/>
        <i/>
        <color rgb="FFCC0099"/>
        <name val="Cambria"/>
        <scheme val="none"/>
      </font>
    </dxf>
    <dxf>
      <font>
        <b/>
        <i/>
        <color rgb="FFCC0099"/>
        <name val="Cambria"/>
        <scheme val="none"/>
      </font>
    </dxf>
    <dxf>
      <font>
        <b/>
        <i/>
        <color rgb="FFCC0099"/>
        <name val="Cambria"/>
        <scheme val="none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CC"/>
      <color rgb="FF00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21</xdr:row>
          <xdr:rowOff>57150</xdr:rowOff>
        </xdr:from>
        <xdr:to>
          <xdr:col>7</xdr:col>
          <xdr:colOff>904875</xdr:colOff>
          <xdr:row>23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23</xdr:row>
          <xdr:rowOff>57150</xdr:rowOff>
        </xdr:from>
        <xdr:to>
          <xdr:col>7</xdr:col>
          <xdr:colOff>904875</xdr:colOff>
          <xdr:row>25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workbookViewId="0">
      <selection activeCell="D14" sqref="D14"/>
    </sheetView>
  </sheetViews>
  <sheetFormatPr baseColWidth="10" defaultRowHeight="12.75" x14ac:dyDescent="0.2"/>
  <cols>
    <col min="1" max="7" width="8.7109375" customWidth="1"/>
    <col min="8" max="8" width="14.5703125" bestFit="1" customWidth="1"/>
    <col min="9" max="10" width="8.140625" customWidth="1"/>
    <col min="11" max="11" width="2" customWidth="1"/>
    <col min="12" max="12" width="8.140625" customWidth="1"/>
    <col min="13" max="13" width="2.42578125" customWidth="1"/>
    <col min="14" max="14" width="26.7109375" bestFit="1" customWidth="1"/>
    <col min="15" max="15" width="5.85546875" bestFit="1" customWidth="1"/>
  </cols>
  <sheetData>
    <row r="1" spans="1:15" ht="15.75" x14ac:dyDescent="0.25">
      <c r="A1" s="1" t="s">
        <v>0</v>
      </c>
      <c r="B1" s="1"/>
      <c r="C1" s="1"/>
    </row>
    <row r="2" spans="1:15" ht="7.5" customHeight="1" x14ac:dyDescent="0.25">
      <c r="A2" s="1"/>
      <c r="B2" s="1"/>
      <c r="C2" s="1"/>
    </row>
    <row r="3" spans="1:15" x14ac:dyDescent="0.2">
      <c r="A3" s="2" t="s">
        <v>1</v>
      </c>
      <c r="B3" s="2"/>
      <c r="C3" s="3">
        <v>3</v>
      </c>
      <c r="D3" s="4" t="s">
        <v>2</v>
      </c>
      <c r="E3" s="4"/>
      <c r="F3" s="4"/>
      <c r="G3" s="4"/>
      <c r="H3" s="2" t="s">
        <v>105</v>
      </c>
    </row>
    <row r="4" spans="1:15" ht="7.5" customHeight="1" x14ac:dyDescent="0.2">
      <c r="A4" s="5"/>
      <c r="B4" s="5"/>
      <c r="C4" s="6"/>
    </row>
    <row r="5" spans="1:15" x14ac:dyDescent="0.2">
      <c r="A5" s="5" t="s">
        <v>3</v>
      </c>
      <c r="B5" s="6" t="s">
        <v>4</v>
      </c>
      <c r="C5" s="6" t="s">
        <v>5</v>
      </c>
      <c r="D5" s="123" t="s">
        <v>6</v>
      </c>
      <c r="E5" s="124"/>
      <c r="F5" s="124"/>
      <c r="G5" s="124"/>
      <c r="H5" s="7" t="s">
        <v>7</v>
      </c>
      <c r="I5" s="7" t="s">
        <v>8</v>
      </c>
      <c r="J5" s="7" t="s">
        <v>9</v>
      </c>
      <c r="K5" s="7"/>
      <c r="N5" s="8" t="s">
        <v>10</v>
      </c>
    </row>
    <row r="6" spans="1:15" x14ac:dyDescent="0.2">
      <c r="A6" s="5"/>
      <c r="B6" s="6"/>
      <c r="C6" s="5"/>
      <c r="D6" s="9" t="s">
        <v>11</v>
      </c>
      <c r="E6" s="9" t="s">
        <v>12</v>
      </c>
      <c r="F6" s="9" t="s">
        <v>13</v>
      </c>
      <c r="G6" s="9" t="s">
        <v>14</v>
      </c>
      <c r="H6" s="10" t="s">
        <v>15</v>
      </c>
      <c r="I6" s="10"/>
      <c r="J6" s="11"/>
      <c r="K6" s="11"/>
      <c r="N6" s="11" t="s">
        <v>16</v>
      </c>
      <c r="O6" s="11" t="s">
        <v>15</v>
      </c>
    </row>
    <row r="7" spans="1:15" x14ac:dyDescent="0.2">
      <c r="A7" s="5" t="s">
        <v>17</v>
      </c>
      <c r="B7" s="6" t="s">
        <v>18</v>
      </c>
      <c r="C7" s="6" t="s">
        <v>19</v>
      </c>
      <c r="D7" s="12">
        <v>8</v>
      </c>
      <c r="E7" s="12">
        <v>6</v>
      </c>
      <c r="F7" s="12">
        <v>10</v>
      </c>
      <c r="G7" s="12">
        <v>10</v>
      </c>
      <c r="H7" s="7">
        <f>COUNTIF(D7:G7,"&gt;0")</f>
        <v>4</v>
      </c>
      <c r="I7" s="13">
        <v>2</v>
      </c>
      <c r="J7" s="14">
        <f>SUM(D7:G7)*I7</f>
        <v>68</v>
      </c>
      <c r="K7" s="11"/>
      <c r="N7" t="s">
        <v>20</v>
      </c>
      <c r="O7">
        <v>4</v>
      </c>
    </row>
    <row r="8" spans="1:15" x14ac:dyDescent="0.2">
      <c r="A8" s="5" t="s">
        <v>21</v>
      </c>
      <c r="B8" s="6" t="s">
        <v>22</v>
      </c>
      <c r="C8" s="6" t="s">
        <v>23</v>
      </c>
      <c r="D8" s="12">
        <v>11</v>
      </c>
      <c r="E8" s="12">
        <v>8</v>
      </c>
      <c r="F8" s="12">
        <v>10</v>
      </c>
      <c r="G8" s="12">
        <v>9</v>
      </c>
      <c r="H8" s="7">
        <f t="shared" ref="H8:H17" si="0">COUNTIF(D8:G8,"&gt;0")</f>
        <v>4</v>
      </c>
      <c r="I8" s="13">
        <v>2</v>
      </c>
      <c r="J8" s="14">
        <f t="shared" ref="J8:J18" si="1">SUM(D8:G8)*I8</f>
        <v>76</v>
      </c>
      <c r="K8" s="11"/>
      <c r="N8" t="s">
        <v>24</v>
      </c>
      <c r="O8">
        <v>4</v>
      </c>
    </row>
    <row r="9" spans="1:15" x14ac:dyDescent="0.2">
      <c r="A9" s="5" t="s">
        <v>25</v>
      </c>
      <c r="B9" s="6" t="s">
        <v>26</v>
      </c>
      <c r="C9" s="6" t="s">
        <v>27</v>
      </c>
      <c r="D9" s="12">
        <v>10</v>
      </c>
      <c r="E9" s="12">
        <v>6</v>
      </c>
      <c r="F9" s="12">
        <v>7</v>
      </c>
      <c r="G9" s="12">
        <v>7</v>
      </c>
      <c r="H9" s="7">
        <f t="shared" si="0"/>
        <v>4</v>
      </c>
      <c r="I9" s="13">
        <v>1</v>
      </c>
      <c r="J9" s="14">
        <f t="shared" si="1"/>
        <v>30</v>
      </c>
      <c r="K9" s="7"/>
      <c r="N9" t="s">
        <v>28</v>
      </c>
      <c r="O9">
        <v>4</v>
      </c>
    </row>
    <row r="10" spans="1:15" x14ac:dyDescent="0.2">
      <c r="A10" s="5" t="s">
        <v>29</v>
      </c>
      <c r="B10" s="6" t="s">
        <v>30</v>
      </c>
      <c r="C10" s="6" t="s">
        <v>31</v>
      </c>
      <c r="D10" s="12">
        <v>5</v>
      </c>
      <c r="E10" s="12">
        <v>8</v>
      </c>
      <c r="F10" s="12">
        <v>6</v>
      </c>
      <c r="G10" s="12">
        <v>11</v>
      </c>
      <c r="H10" s="7">
        <f t="shared" si="0"/>
        <v>4</v>
      </c>
      <c r="I10" s="13">
        <v>1</v>
      </c>
      <c r="J10" s="14">
        <f t="shared" si="1"/>
        <v>30</v>
      </c>
      <c r="K10" s="7"/>
      <c r="N10" s="15" t="s">
        <v>32</v>
      </c>
      <c r="O10">
        <v>4</v>
      </c>
    </row>
    <row r="11" spans="1:15" x14ac:dyDescent="0.2">
      <c r="A11" s="16" t="s">
        <v>33</v>
      </c>
      <c r="B11" s="17" t="s">
        <v>34</v>
      </c>
      <c r="C11" s="17" t="s">
        <v>72</v>
      </c>
      <c r="D11" s="12">
        <v>8</v>
      </c>
      <c r="E11" s="12">
        <v>11</v>
      </c>
      <c r="F11" s="12">
        <v>7</v>
      </c>
      <c r="G11" s="12">
        <v>7</v>
      </c>
      <c r="H11" s="7">
        <f t="shared" si="0"/>
        <v>4</v>
      </c>
      <c r="I11" s="13">
        <v>1</v>
      </c>
      <c r="J11" s="14">
        <f t="shared" si="1"/>
        <v>33</v>
      </c>
      <c r="K11" s="7"/>
      <c r="N11" s="15" t="s">
        <v>35</v>
      </c>
      <c r="O11" s="18">
        <v>4</v>
      </c>
    </row>
    <row r="12" spans="1:15" x14ac:dyDescent="0.2">
      <c r="A12" s="16" t="s">
        <v>36</v>
      </c>
      <c r="B12" s="17" t="s">
        <v>37</v>
      </c>
      <c r="D12" s="19">
        <v>10</v>
      </c>
      <c r="E12" s="19">
        <v>8</v>
      </c>
      <c r="F12" s="19">
        <v>9</v>
      </c>
      <c r="G12" s="12">
        <v>11</v>
      </c>
      <c r="H12" s="7">
        <f t="shared" si="0"/>
        <v>4</v>
      </c>
      <c r="I12" s="13">
        <v>1</v>
      </c>
      <c r="J12" s="14">
        <f t="shared" si="1"/>
        <v>38</v>
      </c>
      <c r="N12" s="20" t="s">
        <v>38</v>
      </c>
    </row>
    <row r="13" spans="1:15" x14ac:dyDescent="0.2">
      <c r="A13" s="16" t="s">
        <v>39</v>
      </c>
      <c r="B13" s="17" t="s">
        <v>40</v>
      </c>
      <c r="D13" s="21" t="s">
        <v>41</v>
      </c>
      <c r="E13" s="21" t="s">
        <v>41</v>
      </c>
      <c r="F13" s="21" t="s">
        <v>41</v>
      </c>
      <c r="G13" s="19">
        <v>8</v>
      </c>
      <c r="H13" s="7">
        <f t="shared" si="0"/>
        <v>1</v>
      </c>
      <c r="I13" s="13">
        <v>1</v>
      </c>
      <c r="J13" s="14">
        <f t="shared" si="1"/>
        <v>8</v>
      </c>
      <c r="N13" s="20" t="s">
        <v>42</v>
      </c>
      <c r="O13">
        <v>4</v>
      </c>
    </row>
    <row r="14" spans="1:15" x14ac:dyDescent="0.2">
      <c r="A14" s="16" t="s">
        <v>43</v>
      </c>
      <c r="B14" s="17" t="s">
        <v>44</v>
      </c>
      <c r="D14" s="21" t="s">
        <v>45</v>
      </c>
      <c r="E14" s="12">
        <v>7</v>
      </c>
      <c r="F14" s="19">
        <v>6</v>
      </c>
      <c r="G14" s="12">
        <v>6</v>
      </c>
      <c r="H14" s="7">
        <f t="shared" si="0"/>
        <v>3</v>
      </c>
      <c r="I14" s="13">
        <v>1</v>
      </c>
      <c r="J14" s="14">
        <f t="shared" si="1"/>
        <v>19</v>
      </c>
      <c r="N14" s="20" t="s">
        <v>46</v>
      </c>
      <c r="O14">
        <v>4</v>
      </c>
    </row>
    <row r="15" spans="1:15" x14ac:dyDescent="0.2">
      <c r="A15" s="16" t="s">
        <v>47</v>
      </c>
      <c r="B15" s="17" t="s">
        <v>48</v>
      </c>
      <c r="D15" s="19">
        <v>12</v>
      </c>
      <c r="E15" s="19">
        <v>10</v>
      </c>
      <c r="F15" s="19">
        <v>10</v>
      </c>
      <c r="G15" s="19">
        <v>8</v>
      </c>
      <c r="H15" s="7">
        <f t="shared" si="0"/>
        <v>4</v>
      </c>
      <c r="I15" s="13">
        <v>1</v>
      </c>
      <c r="J15" s="14">
        <f t="shared" si="1"/>
        <v>40</v>
      </c>
      <c r="N15" s="22" t="s">
        <v>49</v>
      </c>
      <c r="O15">
        <v>4</v>
      </c>
    </row>
    <row r="16" spans="1:15" x14ac:dyDescent="0.2">
      <c r="A16" s="16" t="s">
        <v>50</v>
      </c>
      <c r="B16" s="17" t="s">
        <v>51</v>
      </c>
      <c r="D16" s="19">
        <v>13</v>
      </c>
      <c r="E16" s="21" t="s">
        <v>52</v>
      </c>
      <c r="F16" s="19">
        <v>12</v>
      </c>
      <c r="G16" s="19">
        <v>13</v>
      </c>
      <c r="H16" s="7">
        <f t="shared" si="0"/>
        <v>3</v>
      </c>
      <c r="I16" s="13">
        <v>1</v>
      </c>
      <c r="J16" s="14">
        <f t="shared" si="1"/>
        <v>38</v>
      </c>
      <c r="N16" s="22" t="s">
        <v>53</v>
      </c>
      <c r="O16">
        <v>4</v>
      </c>
    </row>
    <row r="17" spans="1:15" x14ac:dyDescent="0.2">
      <c r="A17" s="16" t="s">
        <v>54</v>
      </c>
      <c r="B17" s="17" t="s">
        <v>55</v>
      </c>
      <c r="D17" s="21" t="s">
        <v>56</v>
      </c>
      <c r="E17" s="21" t="s">
        <v>45</v>
      </c>
      <c r="F17" s="21" t="s">
        <v>41</v>
      </c>
      <c r="G17" s="21" t="s">
        <v>56</v>
      </c>
      <c r="H17" s="7">
        <f t="shared" si="0"/>
        <v>0</v>
      </c>
      <c r="I17" s="13">
        <v>1</v>
      </c>
      <c r="J17" s="14">
        <f t="shared" si="1"/>
        <v>0</v>
      </c>
      <c r="N17" t="s">
        <v>57</v>
      </c>
      <c r="O17">
        <v>1</v>
      </c>
    </row>
    <row r="18" spans="1:15" x14ac:dyDescent="0.2">
      <c r="A18" s="23" t="s">
        <v>58</v>
      </c>
      <c r="B18" s="24" t="s">
        <v>22</v>
      </c>
      <c r="D18" s="25"/>
      <c r="E18" s="25"/>
      <c r="F18" s="26">
        <v>15</v>
      </c>
      <c r="G18" s="25"/>
      <c r="H18" s="27"/>
      <c r="I18" s="13">
        <v>1</v>
      </c>
      <c r="J18" s="14">
        <f t="shared" si="1"/>
        <v>15</v>
      </c>
      <c r="N18" s="22" t="s">
        <v>59</v>
      </c>
      <c r="O18">
        <v>2</v>
      </c>
    </row>
    <row r="19" spans="1:15" x14ac:dyDescent="0.2">
      <c r="A19" s="16"/>
      <c r="B19" s="16"/>
      <c r="C19" s="16"/>
      <c r="H19" s="120" t="str">
        <f>IF(COUNTIF($D$7:$G$17,"=1")+COUNTIF($D$7:$G$17,"=2")+COUNTIF($D$7:$G$17,"=3")+COUNTIF($D$7:$G$17,"=4")+COUNTIF($D$7:$G$17,"=5")+COUNTIF($D$7:$G$17,"=6")+COUNTIF($D$7:$G$17,"=7")+COUNTIF($D$7:$G$17,"=8")+COUNTIF($D$7:$G$17,"=9")+COUNTIF($D$7:$G$17,"=10")+COUNTIF($D$7:$G$17,"=11")+COUNTIF($D$7:$G$17,"=12")+COUNTIF($D$7:$G$17,"=13")+COUNTIF($D$7:$G$17,"=14")+COUNTIF($D$7:$G$17,"=15")&lt;&gt;35,"Genau 35 Kurse!!","")</f>
        <v/>
      </c>
      <c r="J19" s="5"/>
    </row>
    <row r="20" spans="1:15" x14ac:dyDescent="0.2">
      <c r="A20" s="28" t="s">
        <v>60</v>
      </c>
      <c r="B20" s="28"/>
      <c r="C20" s="28"/>
      <c r="H20" s="7">
        <f>SUM(H7:H17)</f>
        <v>35</v>
      </c>
      <c r="I20" s="29" t="s">
        <v>61</v>
      </c>
      <c r="J20" s="29">
        <f>SUM(J7:J18)</f>
        <v>395</v>
      </c>
      <c r="L20" s="11" t="s">
        <v>62</v>
      </c>
    </row>
    <row r="21" spans="1:15" x14ac:dyDescent="0.2">
      <c r="J21" s="30">
        <f>J20*40</f>
        <v>15800</v>
      </c>
      <c r="L21" s="11" t="s">
        <v>63</v>
      </c>
    </row>
    <row r="22" spans="1:15" x14ac:dyDescent="0.2">
      <c r="A22" s="28" t="s">
        <v>64</v>
      </c>
      <c r="B22" s="28"/>
      <c r="C22" s="28"/>
      <c r="I22" s="22"/>
      <c r="J22" s="30">
        <f>J21/44</f>
        <v>359.09090909090907</v>
      </c>
      <c r="L22" s="11" t="s">
        <v>65</v>
      </c>
    </row>
    <row r="23" spans="1:15" x14ac:dyDescent="0.2">
      <c r="A23" s="28" t="s">
        <v>66</v>
      </c>
      <c r="B23" s="28"/>
      <c r="C23" s="28"/>
      <c r="I23" s="31" t="s">
        <v>67</v>
      </c>
      <c r="J23" s="31">
        <f>ROUND(J20/44*40,0)</f>
        <v>359</v>
      </c>
    </row>
    <row r="25" spans="1:15" x14ac:dyDescent="0.2">
      <c r="A25" t="s">
        <v>68</v>
      </c>
      <c r="D25" s="32" t="s">
        <v>69</v>
      </c>
    </row>
    <row r="26" spans="1:15" x14ac:dyDescent="0.2">
      <c r="D26" s="33" t="s">
        <v>70</v>
      </c>
    </row>
    <row r="28" spans="1:15" x14ac:dyDescent="0.2">
      <c r="A28" s="22" t="s">
        <v>71</v>
      </c>
      <c r="D28" s="34" t="str">
        <f>IF(J23&lt;200,"Achtung: EI muss mind. 200 Punkte betragen!!","")</f>
        <v/>
      </c>
      <c r="E28" s="35"/>
      <c r="F28" s="35"/>
      <c r="G28" s="35"/>
      <c r="H28" s="35"/>
      <c r="I28" s="35"/>
      <c r="J28" s="36"/>
    </row>
    <row r="29" spans="1:15" x14ac:dyDescent="0.2">
      <c r="D29" s="37" t="str">
        <f>IF(COUNTIF(D7:G18,0)&gt;0,"Achtung: Kein Kurs mit 00 Punkten erlaubt!!","")</f>
        <v/>
      </c>
      <c r="E29" s="38"/>
      <c r="F29" s="38"/>
      <c r="G29" s="38"/>
      <c r="H29" s="38"/>
      <c r="I29" s="38"/>
      <c r="J29" s="39"/>
    </row>
    <row r="30" spans="1:15" x14ac:dyDescent="0.2">
      <c r="D30" s="40" t="str">
        <f>IF((COUNTIF(D7:G18,0)+COUNTIF(D7:G18,1)+COUNTIF(D7:G18,2)+COUNTIF(D7:G18,3)+COUNTIF(D7:G18,4))&gt;7,"Achtung: Hö. 7 Kurse mit weniger als 05 Punkten erlaubt!!","")</f>
        <v/>
      </c>
      <c r="E30" s="41"/>
      <c r="F30" s="41"/>
      <c r="G30" s="41"/>
      <c r="H30" s="41"/>
      <c r="I30" s="41"/>
      <c r="J30" s="42"/>
    </row>
  </sheetData>
  <mergeCells count="1">
    <mergeCell ref="D5:G5"/>
  </mergeCells>
  <conditionalFormatting sqref="H19">
    <cfRule type="expression" dxfId="7" priority="1">
      <formula>H19&lt;&gt;""</formula>
    </cfRule>
  </conditionalFormatting>
  <printOptions gridLines="1"/>
  <pageMargins left="0.59055118110236227" right="0.39370078740157483" top="0.98425196850393704" bottom="0.59055118110236227" header="0.51181102362204722" footer="0.51181102362204722"/>
  <pageSetup paperSize="9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7</xdr:col>
                <xdr:colOff>114300</xdr:colOff>
                <xdr:row>21</xdr:row>
                <xdr:rowOff>57150</xdr:rowOff>
              </from>
              <to>
                <xdr:col>7</xdr:col>
                <xdr:colOff>904875</xdr:colOff>
                <xdr:row>23</xdr:row>
                <xdr:rowOff>123825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8" sqref="H8"/>
    </sheetView>
  </sheetViews>
  <sheetFormatPr baseColWidth="10" defaultRowHeight="12.75" x14ac:dyDescent="0.2"/>
  <cols>
    <col min="1" max="1" width="14.85546875" style="44" customWidth="1"/>
    <col min="2" max="3" width="6.7109375" style="44" customWidth="1"/>
    <col min="4" max="5" width="8.28515625" style="44" customWidth="1"/>
    <col min="6" max="6" width="21.85546875" style="44" bestFit="1" customWidth="1"/>
    <col min="7" max="7" width="23.28515625" style="44" bestFit="1" customWidth="1"/>
    <col min="8" max="8" width="8.140625" style="44" customWidth="1"/>
    <col min="9" max="9" width="7.5703125" style="44" customWidth="1"/>
    <col min="10" max="10" width="36.5703125" style="44" customWidth="1"/>
    <col min="11" max="11" width="12.140625" style="44" bestFit="1" customWidth="1"/>
    <col min="12" max="16384" width="11.42578125" style="44"/>
  </cols>
  <sheetData>
    <row r="1" spans="1:11" ht="15.75" x14ac:dyDescent="0.25">
      <c r="A1" s="43" t="s">
        <v>73</v>
      </c>
      <c r="B1" s="43"/>
      <c r="C1" s="43"/>
    </row>
    <row r="2" spans="1:11" ht="7.5" customHeight="1" x14ac:dyDescent="0.25">
      <c r="A2" s="43"/>
      <c r="B2" s="43"/>
      <c r="C2" s="43"/>
    </row>
    <row r="3" spans="1:11" x14ac:dyDescent="0.2">
      <c r="A3" s="45" t="s">
        <v>1</v>
      </c>
      <c r="B3" s="45"/>
      <c r="C3" s="46">
        <v>3</v>
      </c>
      <c r="D3" s="47" t="s">
        <v>2</v>
      </c>
      <c r="G3" s="2" t="s">
        <v>105</v>
      </c>
    </row>
    <row r="4" spans="1:11" ht="7.5" customHeight="1" x14ac:dyDescent="0.2">
      <c r="A4" s="48"/>
      <c r="B4" s="48"/>
      <c r="C4" s="49"/>
    </row>
    <row r="5" spans="1:11" x14ac:dyDescent="0.2">
      <c r="D5" s="125" t="s">
        <v>74</v>
      </c>
      <c r="E5" s="126"/>
      <c r="G5" s="50"/>
      <c r="I5" s="51"/>
    </row>
    <row r="6" spans="1:11" x14ac:dyDescent="0.2">
      <c r="A6" s="48" t="s">
        <v>3</v>
      </c>
      <c r="B6" s="49" t="s">
        <v>4</v>
      </c>
      <c r="C6" s="49" t="s">
        <v>5</v>
      </c>
      <c r="D6" s="52" t="s">
        <v>75</v>
      </c>
      <c r="F6" s="53" t="s">
        <v>76</v>
      </c>
      <c r="G6" s="53" t="s">
        <v>77</v>
      </c>
      <c r="H6" s="51" t="s">
        <v>9</v>
      </c>
      <c r="I6" s="51"/>
    </row>
    <row r="7" spans="1:11" x14ac:dyDescent="0.2">
      <c r="D7" s="54" t="s">
        <v>78</v>
      </c>
      <c r="E7" s="54" t="s">
        <v>79</v>
      </c>
      <c r="H7" s="50"/>
      <c r="I7" s="50"/>
    </row>
    <row r="8" spans="1:11" x14ac:dyDescent="0.2">
      <c r="A8" s="48" t="s">
        <v>17</v>
      </c>
      <c r="B8" s="49" t="s">
        <v>18</v>
      </c>
      <c r="C8" s="49" t="s">
        <v>19</v>
      </c>
      <c r="D8" s="12">
        <v>3</v>
      </c>
      <c r="E8" s="25"/>
      <c r="F8" s="56">
        <v>5</v>
      </c>
      <c r="G8" s="57">
        <v>4</v>
      </c>
      <c r="H8" s="58">
        <f>ROUND(IF(AND($E$12="",$E$14=""),F8,G8)*IF(E8&lt;&gt;"",(D8*2+E8)/3,D8),0)</f>
        <v>12</v>
      </c>
      <c r="I8" s="51"/>
      <c r="J8" s="59" t="s">
        <v>80</v>
      </c>
      <c r="K8" s="50" t="s">
        <v>81</v>
      </c>
    </row>
    <row r="9" spans="1:11" x14ac:dyDescent="0.2">
      <c r="A9" s="48" t="s">
        <v>21</v>
      </c>
      <c r="B9" s="49" t="s">
        <v>22</v>
      </c>
      <c r="C9" s="49" t="s">
        <v>23</v>
      </c>
      <c r="D9" s="12">
        <v>10</v>
      </c>
      <c r="E9" s="25"/>
      <c r="F9" s="56">
        <v>5</v>
      </c>
      <c r="G9" s="57">
        <v>4</v>
      </c>
      <c r="H9" s="58">
        <f t="shared" ref="H9:H10" si="0">ROUND(IF(AND($E$12="",$E$14=""),F9,G9)*IF(E9&lt;&gt;"",(D9*2+E9)/3,D9),0)</f>
        <v>40</v>
      </c>
      <c r="I9" s="51"/>
      <c r="J9" s="60" t="s">
        <v>82</v>
      </c>
      <c r="K9" s="61">
        <v>5</v>
      </c>
    </row>
    <row r="10" spans="1:11" x14ac:dyDescent="0.2">
      <c r="A10" s="48" t="s">
        <v>25</v>
      </c>
      <c r="B10" s="49" t="s">
        <v>26</v>
      </c>
      <c r="C10" s="49" t="s">
        <v>27</v>
      </c>
      <c r="D10" s="12">
        <v>3</v>
      </c>
      <c r="E10" s="19"/>
      <c r="F10" s="56">
        <v>5</v>
      </c>
      <c r="G10" s="57">
        <v>4</v>
      </c>
      <c r="H10" s="58">
        <f t="shared" si="0"/>
        <v>12</v>
      </c>
      <c r="I10" s="51"/>
      <c r="J10" s="62" t="s">
        <v>83</v>
      </c>
      <c r="K10" s="51">
        <v>4</v>
      </c>
    </row>
    <row r="11" spans="1:11" x14ac:dyDescent="0.2">
      <c r="A11" s="48" t="s">
        <v>32</v>
      </c>
      <c r="B11" s="49" t="s">
        <v>30</v>
      </c>
      <c r="C11" s="49" t="s">
        <v>31</v>
      </c>
      <c r="D11" s="88"/>
      <c r="E11" s="12">
        <v>4</v>
      </c>
      <c r="F11" s="56">
        <v>5</v>
      </c>
      <c r="G11" s="57">
        <v>4</v>
      </c>
      <c r="H11" s="58">
        <f>IF(AND($E$12="",$E$14=""),F11,IF(AND(B14=B11,E14&gt;E11),0,G11))*E11</f>
        <v>16</v>
      </c>
      <c r="I11" s="51"/>
      <c r="J11" s="62" t="s">
        <v>84</v>
      </c>
      <c r="K11" s="51">
        <v>4</v>
      </c>
    </row>
    <row r="12" spans="1:11" x14ac:dyDescent="0.2">
      <c r="A12" s="48" t="s">
        <v>85</v>
      </c>
      <c r="B12" s="49"/>
      <c r="C12" s="49" t="s">
        <v>72</v>
      </c>
      <c r="D12" s="88"/>
      <c r="E12" s="12">
        <v>5</v>
      </c>
      <c r="F12" s="56">
        <v>5</v>
      </c>
      <c r="G12" s="57">
        <v>4</v>
      </c>
      <c r="H12" s="58">
        <f>IF($E$12="",0,IF(AND(B14=B12,E14&gt;E12),0,G12))*E12</f>
        <v>20</v>
      </c>
      <c r="J12" s="62" t="s">
        <v>86</v>
      </c>
      <c r="K12" s="51">
        <v>4</v>
      </c>
    </row>
    <row r="13" spans="1:11" ht="5.25" customHeight="1" x14ac:dyDescent="0.2">
      <c r="A13" s="64"/>
      <c r="B13" s="65"/>
      <c r="C13" s="65"/>
      <c r="D13" s="89"/>
      <c r="E13" s="89"/>
      <c r="F13" s="55"/>
      <c r="G13" s="57"/>
      <c r="H13" s="67"/>
      <c r="J13" s="50"/>
      <c r="K13" s="50"/>
    </row>
    <row r="14" spans="1:11" x14ac:dyDescent="0.2">
      <c r="A14" s="64" t="s">
        <v>87</v>
      </c>
      <c r="B14" s="65"/>
      <c r="C14" s="65"/>
      <c r="D14" s="88"/>
      <c r="E14" s="12"/>
      <c r="F14" s="63"/>
      <c r="G14" s="57">
        <v>4</v>
      </c>
      <c r="H14" s="58">
        <f>IF(E12="",E14*G14,0)+IF(AND(E12&lt;&gt;"",AND(B14=B11,E14&gt;E11)),E14*G14,0)+IF(AND(E12&lt;&gt;"",AND(B14=B12,E14&gt;E12)),E14*G14,0)</f>
        <v>0</v>
      </c>
      <c r="J14" s="68"/>
      <c r="K14" s="69"/>
    </row>
    <row r="15" spans="1:11" x14ac:dyDescent="0.2">
      <c r="A15" s="70" t="s">
        <v>88</v>
      </c>
      <c r="B15" s="64"/>
      <c r="C15" s="64"/>
      <c r="D15" s="66"/>
      <c r="E15" s="66"/>
      <c r="F15" s="55"/>
      <c r="G15" s="57"/>
      <c r="H15" s="67"/>
      <c r="J15" s="71"/>
      <c r="K15" s="50"/>
    </row>
    <row r="16" spans="1:11" ht="6" customHeight="1" x14ac:dyDescent="0.2">
      <c r="A16" s="64"/>
      <c r="B16" s="64"/>
      <c r="C16" s="64"/>
      <c r="D16" s="66"/>
      <c r="E16" s="66"/>
      <c r="F16" s="55"/>
      <c r="G16" s="57"/>
      <c r="H16" s="67"/>
      <c r="J16" s="71"/>
      <c r="K16" s="50"/>
    </row>
    <row r="17" spans="1:10" x14ac:dyDescent="0.2">
      <c r="A17" s="72" t="s">
        <v>89</v>
      </c>
      <c r="B17" s="72"/>
      <c r="C17" s="72"/>
      <c r="F17" s="73"/>
      <c r="H17" s="74">
        <f>SUM(H8:H14)</f>
        <v>100</v>
      </c>
      <c r="J17" s="75"/>
    </row>
    <row r="18" spans="1:10" x14ac:dyDescent="0.2">
      <c r="A18" s="64"/>
      <c r="B18" s="64"/>
      <c r="C18" s="64"/>
      <c r="H18" s="48"/>
    </row>
    <row r="19" spans="1:10" x14ac:dyDescent="0.2">
      <c r="A19" s="72" t="s">
        <v>90</v>
      </c>
      <c r="B19" s="72"/>
      <c r="C19" s="72"/>
      <c r="H19" s="55"/>
    </row>
    <row r="20" spans="1:10" x14ac:dyDescent="0.2">
      <c r="A20" s="72" t="s">
        <v>91</v>
      </c>
      <c r="B20" s="72"/>
      <c r="C20" s="72"/>
    </row>
    <row r="22" spans="1:10" x14ac:dyDescent="0.2">
      <c r="A22" s="44" t="s">
        <v>68</v>
      </c>
      <c r="E22" s="76" t="s">
        <v>92</v>
      </c>
    </row>
    <row r="23" spans="1:10" x14ac:dyDescent="0.2">
      <c r="A23" s="72"/>
      <c r="B23" s="72"/>
      <c r="C23" s="72"/>
      <c r="E23" s="76" t="s">
        <v>93</v>
      </c>
      <c r="G23" s="51"/>
    </row>
    <row r="24" spans="1:10" x14ac:dyDescent="0.2">
      <c r="E24" s="76" t="s">
        <v>94</v>
      </c>
    </row>
    <row r="25" spans="1:10" x14ac:dyDescent="0.2">
      <c r="E25" s="76" t="s">
        <v>95</v>
      </c>
    </row>
    <row r="27" spans="1:10" x14ac:dyDescent="0.2">
      <c r="A27" s="22" t="s">
        <v>71</v>
      </c>
      <c r="B27"/>
      <c r="C27"/>
      <c r="D27" s="34" t="str">
        <f>IF(H17&lt;100,"Achtung: Punktsumme muss mind. 100 Punkte betragen!!","")</f>
        <v/>
      </c>
      <c r="E27" s="35"/>
      <c r="F27" s="35"/>
      <c r="G27" s="35"/>
      <c r="H27" s="36"/>
      <c r="I27" s="38"/>
      <c r="J27" s="38"/>
    </row>
    <row r="28" spans="1:10" x14ac:dyDescent="0.2">
      <c r="A28"/>
      <c r="B28"/>
      <c r="C28"/>
      <c r="D28" s="37" t="str">
        <f>IF(AND(E12="",P14=""),IF(IF(H8&lt;25,1,0)+IF(H9&lt;25,1,0)+IF(H10&lt;25,1,0)+IF(H11&lt;25,1,0)&gt;2,"Achtung: Bei 4 Pfern in mind. 2 Fächern mind. 05 (bzw. fünffach: 25) Punkte!!",""),"")</f>
        <v/>
      </c>
      <c r="E28" s="38"/>
      <c r="F28" s="38"/>
      <c r="G28" s="38"/>
      <c r="H28" s="39"/>
      <c r="I28" s="38"/>
      <c r="J28" s="38"/>
    </row>
    <row r="29" spans="1:10" x14ac:dyDescent="0.2">
      <c r="A29"/>
      <c r="B29"/>
      <c r="C29"/>
      <c r="D29" s="40" t="str">
        <f>IF(OR(E12&lt;&gt;"",E14&lt;&gt;""),IF(IF(H8&lt;20,1,0)+IF(H9&lt;20,1,0)+IF(H10&lt;20,1,0)+IF(H11&lt;20,1,0)+IF(H12&lt;20,1,0)+IF(H14&lt;20,1,0)&gt;3,"Achtung: Bei 5 Pfern in mind. 3 Fächern mind. 05 (bzw. vierfach: 20) Punkte!!",""),"")</f>
        <v>Achtung: Bei 5 Pfern in mind. 3 Fächern mind. 05 (bzw. vierfach: 20) Punkte!!</v>
      </c>
      <c r="E29" s="41"/>
      <c r="F29" s="41"/>
      <c r="G29" s="41"/>
      <c r="H29" s="42"/>
      <c r="I29" s="38"/>
      <c r="J29" s="38"/>
    </row>
    <row r="30" spans="1:10" x14ac:dyDescent="0.2">
      <c r="E30" s="77"/>
    </row>
  </sheetData>
  <mergeCells count="1">
    <mergeCell ref="D5:E5"/>
  </mergeCells>
  <conditionalFormatting sqref="F8:F12">
    <cfRule type="expression" dxfId="6" priority="2" stopIfTrue="1">
      <formula>AND($E$12="",$E$14="")</formula>
    </cfRule>
  </conditionalFormatting>
  <conditionalFormatting sqref="G8:G14">
    <cfRule type="expression" dxfId="5" priority="1" stopIfTrue="1">
      <formula>OR($E$12&lt;&gt;"",$E$14&lt;&gt;"")</formula>
    </cfRule>
  </conditionalFormatting>
  <printOptions gridLines="1"/>
  <pageMargins left="0.78740157480314965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C29" sqref="C29"/>
    </sheetView>
  </sheetViews>
  <sheetFormatPr baseColWidth="10" defaultRowHeight="12.75" x14ac:dyDescent="0.2"/>
  <cols>
    <col min="2" max="2" width="16" customWidth="1"/>
    <col min="5" max="7" width="3.28515625" customWidth="1"/>
    <col min="8" max="24" width="3.28515625" bestFit="1" customWidth="1"/>
    <col min="25" max="25" width="3.28515625" customWidth="1"/>
    <col min="26" max="35" width="3.28515625" bestFit="1" customWidth="1"/>
  </cols>
  <sheetData>
    <row r="1" spans="1:35" ht="15.75" x14ac:dyDescent="0.25">
      <c r="A1" s="43" t="s">
        <v>96</v>
      </c>
    </row>
    <row r="2" spans="1:35" x14ac:dyDescent="0.2">
      <c r="A2" s="86" t="s">
        <v>102</v>
      </c>
    </row>
    <row r="4" spans="1:35" ht="15.75" x14ac:dyDescent="0.25">
      <c r="A4" s="78" t="s">
        <v>97</v>
      </c>
      <c r="C4" s="29">
        <f>IF('Block_I (1F)'!J23&lt;&gt;"",'Block_I (1F)'!J23,"")</f>
        <v>359</v>
      </c>
    </row>
    <row r="5" spans="1:35" ht="15.75" x14ac:dyDescent="0.25">
      <c r="A5" s="78"/>
    </row>
    <row r="6" spans="1:35" ht="15.75" x14ac:dyDescent="0.25">
      <c r="A6" s="78" t="s">
        <v>98</v>
      </c>
      <c r="C6" s="29">
        <f>IF('Block_II (1F)'!H17&lt;&gt;"",'Block_II (1F)'!H17,"")</f>
        <v>100</v>
      </c>
    </row>
    <row r="7" spans="1:35" ht="15.75" x14ac:dyDescent="0.25">
      <c r="A7" s="78"/>
    </row>
    <row r="8" spans="1:35" ht="3.75" customHeight="1" x14ac:dyDescent="0.25">
      <c r="A8" s="78"/>
    </row>
    <row r="9" spans="1:35" x14ac:dyDescent="0.2">
      <c r="A9" s="80" t="s">
        <v>101</v>
      </c>
      <c r="E9" s="81">
        <v>1</v>
      </c>
      <c r="F9" s="81">
        <v>1.1000000000000001</v>
      </c>
      <c r="G9" s="81">
        <v>1.2000000000000002</v>
      </c>
      <c r="H9" s="81">
        <v>1.3000000000000003</v>
      </c>
      <c r="I9" s="81">
        <v>1.4000000000000004</v>
      </c>
      <c r="J9" s="81">
        <v>1.5000000000000004</v>
      </c>
      <c r="K9" s="81">
        <v>1.6000000000000005</v>
      </c>
      <c r="L9" s="81">
        <v>1.7000000000000006</v>
      </c>
      <c r="M9" s="81">
        <v>1.8000000000000007</v>
      </c>
      <c r="N9" s="81">
        <v>1.9000000000000008</v>
      </c>
      <c r="O9" s="81">
        <v>2.0000000000000009</v>
      </c>
      <c r="P9" s="81">
        <v>2.100000000000001</v>
      </c>
      <c r="Q9" s="81">
        <v>2.2000000000000011</v>
      </c>
      <c r="R9" s="81">
        <v>2.3000000000000012</v>
      </c>
      <c r="S9" s="81">
        <v>2.4000000000000012</v>
      </c>
      <c r="T9" s="81">
        <v>2.5000000000000013</v>
      </c>
      <c r="U9" s="81">
        <v>2.6000000000000014</v>
      </c>
      <c r="V9" s="81">
        <v>2.7000000000000015</v>
      </c>
      <c r="W9" s="81">
        <v>2.8000000000000016</v>
      </c>
      <c r="X9" s="81">
        <v>2.9000000000000017</v>
      </c>
      <c r="Y9" s="81">
        <v>3.0000000000000018</v>
      </c>
      <c r="Z9" s="81">
        <v>3.1000000000000019</v>
      </c>
      <c r="AA9" s="81">
        <v>3.200000000000002</v>
      </c>
      <c r="AB9" s="81">
        <v>3.300000000000002</v>
      </c>
      <c r="AC9" s="81">
        <v>3.4000000000000021</v>
      </c>
      <c r="AD9" s="81">
        <v>3.5000000000000022</v>
      </c>
      <c r="AE9" s="81">
        <v>3.6000000000000023</v>
      </c>
      <c r="AF9" s="81">
        <v>3.7000000000000024</v>
      </c>
      <c r="AG9" s="81">
        <v>3.8000000000000025</v>
      </c>
      <c r="AH9" s="81">
        <v>3.9000000000000026</v>
      </c>
      <c r="AI9" s="81">
        <v>4.0000000000000027</v>
      </c>
    </row>
    <row r="10" spans="1:35" ht="3.75" customHeight="1" x14ac:dyDescent="0.2">
      <c r="A10" s="3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5" ht="15.75" x14ac:dyDescent="0.25">
      <c r="A11" s="79" t="s">
        <v>100</v>
      </c>
      <c r="C11" s="84">
        <f>C4+C6</f>
        <v>459</v>
      </c>
      <c r="E11" s="83" t="str">
        <f>IF(AND(823&lt;=$C11,$C11&lt;=900),E9,"")</f>
        <v/>
      </c>
      <c r="F11" s="83" t="str">
        <f>IF(AND(805&lt;=$C11,$C11&lt;=822),F9,"")</f>
        <v/>
      </c>
      <c r="G11" s="83" t="str">
        <f>IF(AND(787&lt;=$C11,$C11&lt;=804),G9,"")</f>
        <v/>
      </c>
      <c r="H11" s="83" t="str">
        <f>IF(AND(769&lt;=$C11,$C11&lt;=786),H9,"")</f>
        <v/>
      </c>
      <c r="I11" s="83" t="str">
        <f>IF(AND(751&lt;=$C11,$C11&lt;=768),I9,"")</f>
        <v/>
      </c>
      <c r="J11" s="83" t="str">
        <f>IF(AND(733&lt;=$C11,$C11&lt;=750),J9,"")</f>
        <v/>
      </c>
      <c r="K11" s="83" t="str">
        <f>IF(AND(715&lt;=$C11,$C11&lt;=732),K9,"")</f>
        <v/>
      </c>
      <c r="L11" s="83" t="str">
        <f>IF(AND(697&lt;=$C11,$C11&lt;=714),L9,"")</f>
        <v/>
      </c>
      <c r="M11" s="83" t="str">
        <f>IF(AND(679&lt;=$C11,$C11&lt;=696),M9,"")</f>
        <v/>
      </c>
      <c r="N11" s="83" t="str">
        <f>IF(AND(661&lt;=$C11,$C11&lt;=678),N9,"")</f>
        <v/>
      </c>
      <c r="O11" s="83" t="str">
        <f>IF(AND(643&lt;=$C11,$C11&lt;=660),O9,"")</f>
        <v/>
      </c>
      <c r="P11" s="83" t="str">
        <f>IF(AND(625&lt;=$C11,$C11&lt;=642),P9,"")</f>
        <v/>
      </c>
      <c r="Q11" s="83" t="str">
        <f>IF(AND(607&lt;=$C11,$C11&lt;=624),Q9,"")</f>
        <v/>
      </c>
      <c r="R11" s="83" t="str">
        <f>IF(AND(589&lt;=$C11,$C11&lt;=606),R9,"")</f>
        <v/>
      </c>
      <c r="S11" s="83" t="str">
        <f>IF(AND(571&lt;=$C11,$C11&lt;=588),S9,"")</f>
        <v/>
      </c>
      <c r="T11" s="83" t="str">
        <f>IF(AND(553&lt;=$C11,$C11&lt;=570),T9,"")</f>
        <v/>
      </c>
      <c r="U11" s="83" t="str">
        <f>IF(AND(535&lt;=$C11,$C11&lt;=552),U9,"")</f>
        <v/>
      </c>
      <c r="V11" s="83" t="str">
        <f>IF(AND(517&lt;=$C11,$C11&lt;=534),V9,"")</f>
        <v/>
      </c>
      <c r="W11" s="83" t="str">
        <f>IF(AND(499&lt;=$C11,$C11&lt;=516),W9,"")</f>
        <v/>
      </c>
      <c r="X11" s="83" t="str">
        <f>IF(AND(481&lt;=$C11,$C11&lt;=498),X9,"")</f>
        <v/>
      </c>
      <c r="Y11" s="83" t="str">
        <f>IF(AND(463&lt;=$C11,$C11&lt;=480),Y9,"")</f>
        <v/>
      </c>
      <c r="Z11" s="83">
        <f>IF(AND(445&lt;=$C11,$C11&lt;=462),Z9,"")</f>
        <v>3.1000000000000019</v>
      </c>
      <c r="AA11" s="83" t="str">
        <f>IF(AND(427&lt;=$C11,$C11&lt;=440),AA9,"")</f>
        <v/>
      </c>
      <c r="AB11" s="83" t="str">
        <f>IF(AND(409&lt;=$C11,$C11&lt;=426),AB9,"")</f>
        <v/>
      </c>
      <c r="AC11" s="83" t="str">
        <f>IF(AND(391&lt;=$C11,$C11&lt;=408),AC9,"")</f>
        <v/>
      </c>
      <c r="AD11" s="83" t="str">
        <f>IF(AND(373&lt;=$C11,$C11&lt;=390),AD9,"")</f>
        <v/>
      </c>
      <c r="AE11" s="83" t="str">
        <f>IF(AND(355&lt;=$C11,$C11&lt;=372),AE9,"")</f>
        <v/>
      </c>
      <c r="AF11" s="83" t="str">
        <f>IF(AND(337&lt;=$C11,$C11&lt;=354),AF9,"")</f>
        <v/>
      </c>
      <c r="AG11" s="83" t="str">
        <f>IF(AND(319&lt;=$C11,$C11&lt;=336),AG9,"")</f>
        <v/>
      </c>
      <c r="AH11" s="83" t="str">
        <f>IF(AND(301&lt;=$C11,$C11&lt;=318),AH9,"")</f>
        <v/>
      </c>
      <c r="AI11" s="83" t="str">
        <f>IF(AND(300&lt;=$C11,$C11&lt;=300),AI9,"")</f>
        <v/>
      </c>
    </row>
    <row r="12" spans="1:35" x14ac:dyDescent="0.2">
      <c r="E12" s="85">
        <v>900</v>
      </c>
      <c r="F12" s="85">
        <f>E12-78</f>
        <v>822</v>
      </c>
      <c r="G12" s="85">
        <f>F12-18</f>
        <v>804</v>
      </c>
      <c r="H12" s="85">
        <f t="shared" ref="H12:AI12" si="0">G12-18</f>
        <v>786</v>
      </c>
      <c r="I12" s="85">
        <f t="shared" si="0"/>
        <v>768</v>
      </c>
      <c r="J12" s="85">
        <f t="shared" si="0"/>
        <v>750</v>
      </c>
      <c r="K12" s="85">
        <f t="shared" si="0"/>
        <v>732</v>
      </c>
      <c r="L12" s="85">
        <f t="shared" si="0"/>
        <v>714</v>
      </c>
      <c r="M12" s="85">
        <f t="shared" si="0"/>
        <v>696</v>
      </c>
      <c r="N12" s="85">
        <f t="shared" si="0"/>
        <v>678</v>
      </c>
      <c r="O12" s="85">
        <f t="shared" si="0"/>
        <v>660</v>
      </c>
      <c r="P12" s="85">
        <f t="shared" si="0"/>
        <v>642</v>
      </c>
      <c r="Q12" s="85">
        <f t="shared" si="0"/>
        <v>624</v>
      </c>
      <c r="R12" s="85">
        <f t="shared" si="0"/>
        <v>606</v>
      </c>
      <c r="S12" s="85">
        <f t="shared" si="0"/>
        <v>588</v>
      </c>
      <c r="T12" s="85">
        <f t="shared" si="0"/>
        <v>570</v>
      </c>
      <c r="U12" s="85">
        <f t="shared" si="0"/>
        <v>552</v>
      </c>
      <c r="V12" s="85">
        <f t="shared" si="0"/>
        <v>534</v>
      </c>
      <c r="W12" s="85">
        <f t="shared" si="0"/>
        <v>516</v>
      </c>
      <c r="X12" s="85">
        <f t="shared" si="0"/>
        <v>498</v>
      </c>
      <c r="Y12" s="85">
        <f t="shared" si="0"/>
        <v>480</v>
      </c>
      <c r="Z12" s="85">
        <f t="shared" si="0"/>
        <v>462</v>
      </c>
      <c r="AA12" s="85">
        <f t="shared" si="0"/>
        <v>444</v>
      </c>
      <c r="AB12" s="85">
        <f t="shared" si="0"/>
        <v>426</v>
      </c>
      <c r="AC12" s="85">
        <f t="shared" si="0"/>
        <v>408</v>
      </c>
      <c r="AD12" s="85">
        <f t="shared" si="0"/>
        <v>390</v>
      </c>
      <c r="AE12" s="85">
        <f t="shared" si="0"/>
        <v>372</v>
      </c>
      <c r="AF12" s="85">
        <f t="shared" si="0"/>
        <v>354</v>
      </c>
      <c r="AG12" s="85">
        <f t="shared" si="0"/>
        <v>336</v>
      </c>
      <c r="AH12" s="85">
        <f t="shared" si="0"/>
        <v>318</v>
      </c>
      <c r="AI12" s="85">
        <f t="shared" si="0"/>
        <v>300</v>
      </c>
    </row>
    <row r="13" spans="1:35" ht="15.75" x14ac:dyDescent="0.25">
      <c r="A13" s="79" t="s">
        <v>99</v>
      </c>
      <c r="C13" s="113">
        <f>IF(SUM(E11:AI11)&lt;&gt;0,SUM(E11:AI11),"")</f>
        <v>3.1000000000000019</v>
      </c>
      <c r="E13" s="83" t="str">
        <f t="shared" ref="E13:AH13" si="1">IF(AND(F12+1&lt;=$C11,$C11&lt;=E12),E9,"")</f>
        <v/>
      </c>
      <c r="F13" s="83" t="str">
        <f t="shared" si="1"/>
        <v/>
      </c>
      <c r="G13" s="83" t="str">
        <f t="shared" si="1"/>
        <v/>
      </c>
      <c r="H13" s="83" t="str">
        <f t="shared" si="1"/>
        <v/>
      </c>
      <c r="I13" s="83" t="str">
        <f t="shared" si="1"/>
        <v/>
      </c>
      <c r="J13" s="83" t="str">
        <f t="shared" si="1"/>
        <v/>
      </c>
      <c r="K13" s="83" t="str">
        <f t="shared" si="1"/>
        <v/>
      </c>
      <c r="L13" s="83" t="str">
        <f t="shared" si="1"/>
        <v/>
      </c>
      <c r="M13" s="83" t="str">
        <f t="shared" si="1"/>
        <v/>
      </c>
      <c r="N13" s="83" t="str">
        <f t="shared" si="1"/>
        <v/>
      </c>
      <c r="O13" s="83" t="str">
        <f t="shared" si="1"/>
        <v/>
      </c>
      <c r="P13" s="83" t="str">
        <f t="shared" si="1"/>
        <v/>
      </c>
      <c r="Q13" s="83" t="str">
        <f t="shared" si="1"/>
        <v/>
      </c>
      <c r="R13" s="83" t="str">
        <f t="shared" si="1"/>
        <v/>
      </c>
      <c r="S13" s="83" t="str">
        <f t="shared" si="1"/>
        <v/>
      </c>
      <c r="T13" s="83" t="str">
        <f t="shared" si="1"/>
        <v/>
      </c>
      <c r="U13" s="83" t="str">
        <f t="shared" si="1"/>
        <v/>
      </c>
      <c r="V13" s="83" t="str">
        <f t="shared" si="1"/>
        <v/>
      </c>
      <c r="W13" s="83" t="str">
        <f t="shared" si="1"/>
        <v/>
      </c>
      <c r="X13" s="83" t="str">
        <f t="shared" si="1"/>
        <v/>
      </c>
      <c r="Y13" s="83" t="str">
        <f t="shared" si="1"/>
        <v/>
      </c>
      <c r="Z13" s="83">
        <f t="shared" si="1"/>
        <v>3.1000000000000019</v>
      </c>
      <c r="AA13" s="83" t="str">
        <f t="shared" si="1"/>
        <v/>
      </c>
      <c r="AB13" s="83" t="str">
        <f t="shared" si="1"/>
        <v/>
      </c>
      <c r="AC13" s="83" t="str">
        <f t="shared" si="1"/>
        <v/>
      </c>
      <c r="AD13" s="83" t="str">
        <f t="shared" si="1"/>
        <v/>
      </c>
      <c r="AE13" s="83" t="str">
        <f t="shared" si="1"/>
        <v/>
      </c>
      <c r="AF13" s="83" t="str">
        <f t="shared" si="1"/>
        <v/>
      </c>
      <c r="AG13" s="83" t="str">
        <f t="shared" si="1"/>
        <v/>
      </c>
      <c r="AH13" s="83" t="str">
        <f t="shared" si="1"/>
        <v/>
      </c>
      <c r="AI13" s="83" t="str">
        <f>IF(AND(AJ13+1&lt;=$C11,$C11&lt;=AI12),AI9,"")</f>
        <v/>
      </c>
    </row>
    <row r="15" spans="1:35" x14ac:dyDescent="0.2">
      <c r="A15" s="80" t="s">
        <v>103</v>
      </c>
    </row>
    <row r="17" spans="1:35" ht="15.75" x14ac:dyDescent="0.25">
      <c r="A17" s="43" t="s">
        <v>96</v>
      </c>
    </row>
    <row r="18" spans="1:35" x14ac:dyDescent="0.2">
      <c r="A18" s="87" t="s">
        <v>104</v>
      </c>
    </row>
    <row r="20" spans="1:35" ht="15.75" x14ac:dyDescent="0.25">
      <c r="A20" s="78" t="s">
        <v>97</v>
      </c>
      <c r="C20" s="29">
        <v>350</v>
      </c>
    </row>
    <row r="21" spans="1:35" ht="15.75" x14ac:dyDescent="0.25">
      <c r="A21" s="78"/>
    </row>
    <row r="22" spans="1:35" ht="15.75" x14ac:dyDescent="0.25">
      <c r="A22" s="78" t="s">
        <v>98</v>
      </c>
      <c r="C22" s="29">
        <v>231</v>
      </c>
    </row>
    <row r="23" spans="1:35" ht="15.75" x14ac:dyDescent="0.25">
      <c r="A23" s="78"/>
    </row>
    <row r="24" spans="1:35" ht="3.75" customHeight="1" x14ac:dyDescent="0.25">
      <c r="A24" s="78"/>
    </row>
    <row r="25" spans="1:35" x14ac:dyDescent="0.2">
      <c r="A25" s="80" t="s">
        <v>101</v>
      </c>
      <c r="E25" s="81">
        <v>1</v>
      </c>
      <c r="F25" s="81">
        <v>1.1000000000000001</v>
      </c>
      <c r="G25" s="81">
        <v>1.2000000000000002</v>
      </c>
      <c r="H25" s="81">
        <v>1.3000000000000003</v>
      </c>
      <c r="I25" s="81">
        <v>1.4000000000000004</v>
      </c>
      <c r="J25" s="81">
        <v>1.5000000000000004</v>
      </c>
      <c r="K25" s="81">
        <v>1.6000000000000005</v>
      </c>
      <c r="L25" s="81">
        <v>1.7000000000000006</v>
      </c>
      <c r="M25" s="81">
        <v>1.8000000000000007</v>
      </c>
      <c r="N25" s="81">
        <v>1.9000000000000008</v>
      </c>
      <c r="O25" s="81">
        <v>2.0000000000000009</v>
      </c>
      <c r="P25" s="81">
        <v>2.100000000000001</v>
      </c>
      <c r="Q25" s="81">
        <v>2.2000000000000011</v>
      </c>
      <c r="R25" s="81">
        <v>2.3000000000000012</v>
      </c>
      <c r="S25" s="81">
        <v>2.4000000000000012</v>
      </c>
      <c r="T25" s="81">
        <v>2.5000000000000013</v>
      </c>
      <c r="U25" s="81">
        <v>2.6000000000000014</v>
      </c>
      <c r="V25" s="81">
        <v>2.7000000000000015</v>
      </c>
      <c r="W25" s="81">
        <v>2.8000000000000016</v>
      </c>
      <c r="X25" s="81">
        <v>2.9000000000000017</v>
      </c>
      <c r="Y25" s="81">
        <v>3.0000000000000018</v>
      </c>
      <c r="Z25" s="81">
        <v>3.1000000000000019</v>
      </c>
      <c r="AA25" s="81">
        <v>3.200000000000002</v>
      </c>
      <c r="AB25" s="81">
        <v>3.300000000000002</v>
      </c>
      <c r="AC25" s="81">
        <v>3.4000000000000021</v>
      </c>
      <c r="AD25" s="81">
        <v>3.5000000000000022</v>
      </c>
      <c r="AE25" s="81">
        <v>3.6000000000000023</v>
      </c>
      <c r="AF25" s="81">
        <v>3.7000000000000024</v>
      </c>
      <c r="AG25" s="81">
        <v>3.8000000000000025</v>
      </c>
      <c r="AH25" s="81">
        <v>3.9000000000000026</v>
      </c>
      <c r="AI25" s="81">
        <v>4.0000000000000027</v>
      </c>
    </row>
    <row r="26" spans="1:35" ht="3.75" customHeight="1" x14ac:dyDescent="0.2">
      <c r="A26" s="3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</row>
    <row r="27" spans="1:35" ht="15.75" x14ac:dyDescent="0.25">
      <c r="A27" s="79" t="s">
        <v>100</v>
      </c>
      <c r="C27" s="84">
        <f>C20+C22</f>
        <v>581</v>
      </c>
      <c r="E27" s="83" t="str">
        <f>IF(AND(823&lt;=$C27,$C27&lt;=900),E25,"")</f>
        <v/>
      </c>
      <c r="F27" s="83" t="str">
        <f>IF(AND(805&lt;=$C27,$C27&lt;=822),F25,"")</f>
        <v/>
      </c>
      <c r="G27" s="83" t="str">
        <f>IF(AND(787&lt;=$C27,$C27&lt;=804),G25,"")</f>
        <v/>
      </c>
      <c r="H27" s="83" t="str">
        <f>IF(AND(769&lt;=$C27,$C27&lt;=786),H25,"")</f>
        <v/>
      </c>
      <c r="I27" s="83" t="str">
        <f>IF(AND(751&lt;=$C27,$C27&lt;=768),I25,"")</f>
        <v/>
      </c>
      <c r="J27" s="83" t="str">
        <f>IF(AND(733&lt;=$C27,$C27&lt;=750),J25,"")</f>
        <v/>
      </c>
      <c r="K27" s="83" t="str">
        <f>IF(AND(715&lt;=$C27,$C27&lt;=732),K25,"")</f>
        <v/>
      </c>
      <c r="L27" s="83" t="str">
        <f>IF(AND(697&lt;=$C27,$C27&lt;=714),L25,"")</f>
        <v/>
      </c>
      <c r="M27" s="83" t="str">
        <f>IF(AND(679&lt;=$C27,$C27&lt;=696),M25,"")</f>
        <v/>
      </c>
      <c r="N27" s="83" t="str">
        <f>IF(AND(661&lt;=$C27,$C27&lt;=678),N25,"")</f>
        <v/>
      </c>
      <c r="O27" s="83" t="str">
        <f>IF(AND(643&lt;=$C27,$C27&lt;=660),O25,"")</f>
        <v/>
      </c>
      <c r="P27" s="83" t="str">
        <f>IF(AND(625&lt;=$C27,$C27&lt;=642),P25,"")</f>
        <v/>
      </c>
      <c r="Q27" s="83" t="str">
        <f>IF(AND(607&lt;=$C27,$C27&lt;=624),Q25,"")</f>
        <v/>
      </c>
      <c r="R27" s="83" t="str">
        <f>IF(AND(589&lt;=$C27,$C27&lt;=606),R25,"")</f>
        <v/>
      </c>
      <c r="S27" s="83">
        <f>IF(AND(571&lt;=$C27,$C27&lt;=588),S25,"")</f>
        <v>2.4000000000000012</v>
      </c>
      <c r="T27" s="83" t="str">
        <f>IF(AND(553&lt;=$C27,$C27&lt;=570),T25,"")</f>
        <v/>
      </c>
      <c r="U27" s="83" t="str">
        <f>IF(AND(535&lt;=$C27,$C27&lt;=552),U25,"")</f>
        <v/>
      </c>
      <c r="V27" s="83" t="str">
        <f>IF(AND(517&lt;=$C27,$C27&lt;=534),V25,"")</f>
        <v/>
      </c>
      <c r="W27" s="83" t="str">
        <f>IF(AND(499&lt;=$C27,$C27&lt;=516),W25,"")</f>
        <v/>
      </c>
      <c r="X27" s="83" t="str">
        <f>IF(AND(481&lt;=$C27,$C27&lt;=498),X25,"")</f>
        <v/>
      </c>
      <c r="Y27" s="83" t="str">
        <f>IF(AND(463&lt;=$C27,$C27&lt;=480),Y25,"")</f>
        <v/>
      </c>
      <c r="Z27" s="83" t="str">
        <f>IF(AND(445&lt;=$C27,$C27&lt;=462),Z25,"")</f>
        <v/>
      </c>
      <c r="AA27" s="83" t="str">
        <f>IF(AND(427&lt;=$C27,$C27&lt;=440),AA25,"")</f>
        <v/>
      </c>
      <c r="AB27" s="83" t="str">
        <f>IF(AND(409&lt;=$C27,$C27&lt;=426),AB25,"")</f>
        <v/>
      </c>
      <c r="AC27" s="83" t="str">
        <f>IF(AND(391&lt;=$C27,$C27&lt;=408),AC25,"")</f>
        <v/>
      </c>
      <c r="AD27" s="83" t="str">
        <f>IF(AND(373&lt;=$C27,$C27&lt;=390),AD25,"")</f>
        <v/>
      </c>
      <c r="AE27" s="83" t="str">
        <f>IF(AND(355&lt;=$C27,$C27&lt;=372),AE25,"")</f>
        <v/>
      </c>
      <c r="AF27" s="83" t="str">
        <f>IF(AND(337&lt;=$C27,$C27&lt;=354),AF25,"")</f>
        <v/>
      </c>
      <c r="AG27" s="83" t="str">
        <f>IF(AND(319&lt;=$C27,$C27&lt;=336),AG25,"")</f>
        <v/>
      </c>
      <c r="AH27" s="83" t="str">
        <f>IF(AND(301&lt;=$C27,$C27&lt;=318),AH25,"")</f>
        <v/>
      </c>
      <c r="AI27" s="83" t="str">
        <f>IF(AND(300&lt;=$C27,$C27&lt;=300),AI25,"")</f>
        <v/>
      </c>
    </row>
    <row r="28" spans="1:35" x14ac:dyDescent="0.2">
      <c r="E28" s="85">
        <v>900</v>
      </c>
      <c r="F28" s="85">
        <f>E28-78</f>
        <v>822</v>
      </c>
      <c r="G28" s="85">
        <f>F28-18</f>
        <v>804</v>
      </c>
      <c r="H28" s="85">
        <f t="shared" ref="H28:AI28" si="2">G28-18</f>
        <v>786</v>
      </c>
      <c r="I28" s="85">
        <f t="shared" si="2"/>
        <v>768</v>
      </c>
      <c r="J28" s="85">
        <f t="shared" si="2"/>
        <v>750</v>
      </c>
      <c r="K28" s="85">
        <f t="shared" si="2"/>
        <v>732</v>
      </c>
      <c r="L28" s="85">
        <f t="shared" si="2"/>
        <v>714</v>
      </c>
      <c r="M28" s="85">
        <f t="shared" si="2"/>
        <v>696</v>
      </c>
      <c r="N28" s="85">
        <f t="shared" si="2"/>
        <v>678</v>
      </c>
      <c r="O28" s="85">
        <f t="shared" si="2"/>
        <v>660</v>
      </c>
      <c r="P28" s="85">
        <f t="shared" si="2"/>
        <v>642</v>
      </c>
      <c r="Q28" s="85">
        <f t="shared" si="2"/>
        <v>624</v>
      </c>
      <c r="R28" s="85">
        <f t="shared" si="2"/>
        <v>606</v>
      </c>
      <c r="S28" s="85">
        <f t="shared" si="2"/>
        <v>588</v>
      </c>
      <c r="T28" s="85">
        <f t="shared" si="2"/>
        <v>570</v>
      </c>
      <c r="U28" s="85">
        <f t="shared" si="2"/>
        <v>552</v>
      </c>
      <c r="V28" s="85">
        <f t="shared" si="2"/>
        <v>534</v>
      </c>
      <c r="W28" s="85">
        <f t="shared" si="2"/>
        <v>516</v>
      </c>
      <c r="X28" s="85">
        <f t="shared" si="2"/>
        <v>498</v>
      </c>
      <c r="Y28" s="85">
        <f t="shared" si="2"/>
        <v>480</v>
      </c>
      <c r="Z28" s="85">
        <f t="shared" si="2"/>
        <v>462</v>
      </c>
      <c r="AA28" s="85">
        <f t="shared" si="2"/>
        <v>444</v>
      </c>
      <c r="AB28" s="85">
        <f t="shared" si="2"/>
        <v>426</v>
      </c>
      <c r="AC28" s="85">
        <f t="shared" si="2"/>
        <v>408</v>
      </c>
      <c r="AD28" s="85">
        <f t="shared" si="2"/>
        <v>390</v>
      </c>
      <c r="AE28" s="85">
        <f t="shared" si="2"/>
        <v>372</v>
      </c>
      <c r="AF28" s="85">
        <f t="shared" si="2"/>
        <v>354</v>
      </c>
      <c r="AG28" s="85">
        <f t="shared" si="2"/>
        <v>336</v>
      </c>
      <c r="AH28" s="85">
        <f t="shared" si="2"/>
        <v>318</v>
      </c>
      <c r="AI28" s="85">
        <f t="shared" si="2"/>
        <v>300</v>
      </c>
    </row>
    <row r="29" spans="1:35" ht="15.75" x14ac:dyDescent="0.25">
      <c r="A29" s="79" t="s">
        <v>99</v>
      </c>
      <c r="C29" s="113">
        <f>IF(SUM(E27:AI27)&lt;&gt;0,SUM(E27:AI27),"")</f>
        <v>2.4000000000000012</v>
      </c>
      <c r="E29" s="83" t="str">
        <f t="shared" ref="E29:AH29" si="3">IF(AND(F28+1&lt;=$C27,$C27&lt;=E28),E25,"")</f>
        <v/>
      </c>
      <c r="F29" s="83" t="str">
        <f t="shared" si="3"/>
        <v/>
      </c>
      <c r="G29" s="83" t="str">
        <f t="shared" si="3"/>
        <v/>
      </c>
      <c r="H29" s="83" t="str">
        <f t="shared" si="3"/>
        <v/>
      </c>
      <c r="I29" s="83" t="str">
        <f t="shared" si="3"/>
        <v/>
      </c>
      <c r="J29" s="83" t="str">
        <f t="shared" si="3"/>
        <v/>
      </c>
      <c r="K29" s="83" t="str">
        <f t="shared" si="3"/>
        <v/>
      </c>
      <c r="L29" s="83" t="str">
        <f t="shared" si="3"/>
        <v/>
      </c>
      <c r="M29" s="83" t="str">
        <f t="shared" si="3"/>
        <v/>
      </c>
      <c r="N29" s="83" t="str">
        <f t="shared" si="3"/>
        <v/>
      </c>
      <c r="O29" s="83" t="str">
        <f t="shared" si="3"/>
        <v/>
      </c>
      <c r="P29" s="83" t="str">
        <f t="shared" si="3"/>
        <v/>
      </c>
      <c r="Q29" s="83" t="str">
        <f t="shared" si="3"/>
        <v/>
      </c>
      <c r="R29" s="83" t="str">
        <f t="shared" si="3"/>
        <v/>
      </c>
      <c r="S29" s="83">
        <f t="shared" si="3"/>
        <v>2.4000000000000012</v>
      </c>
      <c r="T29" s="83" t="str">
        <f t="shared" si="3"/>
        <v/>
      </c>
      <c r="U29" s="83" t="str">
        <f t="shared" si="3"/>
        <v/>
      </c>
      <c r="V29" s="83" t="str">
        <f t="shared" si="3"/>
        <v/>
      </c>
      <c r="W29" s="83" t="str">
        <f t="shared" si="3"/>
        <v/>
      </c>
      <c r="X29" s="83" t="str">
        <f t="shared" si="3"/>
        <v/>
      </c>
      <c r="Y29" s="83" t="str">
        <f t="shared" si="3"/>
        <v/>
      </c>
      <c r="Z29" s="83" t="str">
        <f t="shared" si="3"/>
        <v/>
      </c>
      <c r="AA29" s="83" t="str">
        <f t="shared" si="3"/>
        <v/>
      </c>
      <c r="AB29" s="83" t="str">
        <f t="shared" si="3"/>
        <v/>
      </c>
      <c r="AC29" s="83" t="str">
        <f t="shared" si="3"/>
        <v/>
      </c>
      <c r="AD29" s="83" t="str">
        <f t="shared" si="3"/>
        <v/>
      </c>
      <c r="AE29" s="83" t="str">
        <f t="shared" si="3"/>
        <v/>
      </c>
      <c r="AF29" s="83" t="str">
        <f t="shared" si="3"/>
        <v/>
      </c>
      <c r="AG29" s="83" t="str">
        <f t="shared" si="3"/>
        <v/>
      </c>
      <c r="AH29" s="83" t="str">
        <f t="shared" si="3"/>
        <v/>
      </c>
      <c r="AI29" s="83" t="str">
        <f>IF(AND(AJ29+1&lt;=$C27,$C27&lt;=AI28),AI25,"")</f>
        <v/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workbookViewId="0">
      <selection activeCell="C13" sqref="C13"/>
    </sheetView>
  </sheetViews>
  <sheetFormatPr baseColWidth="10" defaultRowHeight="12.75" x14ac:dyDescent="0.2"/>
  <cols>
    <col min="2" max="2" width="16" customWidth="1"/>
    <col min="5" max="7" width="3.28515625" customWidth="1"/>
    <col min="8" max="24" width="3.28515625" bestFit="1" customWidth="1"/>
    <col min="25" max="25" width="3.28515625" customWidth="1"/>
    <col min="26" max="35" width="3.28515625" bestFit="1" customWidth="1"/>
  </cols>
  <sheetData>
    <row r="1" spans="1:35" ht="15.75" x14ac:dyDescent="0.25">
      <c r="A1" s="43" t="s">
        <v>96</v>
      </c>
    </row>
    <row r="2" spans="1:35" x14ac:dyDescent="0.2">
      <c r="A2" s="87" t="s">
        <v>104</v>
      </c>
    </row>
    <row r="4" spans="1:35" ht="15.75" x14ac:dyDescent="0.25">
      <c r="A4" s="78" t="s">
        <v>97</v>
      </c>
      <c r="C4" s="29">
        <v>350</v>
      </c>
    </row>
    <row r="5" spans="1:35" ht="15.75" x14ac:dyDescent="0.25">
      <c r="A5" s="78"/>
    </row>
    <row r="6" spans="1:35" ht="15.75" x14ac:dyDescent="0.25">
      <c r="A6" s="78" t="s">
        <v>98</v>
      </c>
      <c r="C6" s="29">
        <v>231</v>
      </c>
    </row>
    <row r="7" spans="1:35" ht="15.75" x14ac:dyDescent="0.25">
      <c r="A7" s="78"/>
    </row>
    <row r="8" spans="1:35" ht="3.75" customHeight="1" x14ac:dyDescent="0.25">
      <c r="A8" s="78"/>
    </row>
    <row r="9" spans="1:35" x14ac:dyDescent="0.2">
      <c r="A9" s="80" t="s">
        <v>101</v>
      </c>
      <c r="E9" s="81">
        <v>1</v>
      </c>
      <c r="F9" s="81">
        <v>1.1000000000000001</v>
      </c>
      <c r="G9" s="81">
        <v>1.2000000000000002</v>
      </c>
      <c r="H9" s="81">
        <v>1.3000000000000003</v>
      </c>
      <c r="I9" s="81">
        <v>1.4000000000000004</v>
      </c>
      <c r="J9" s="81">
        <v>1.5000000000000004</v>
      </c>
      <c r="K9" s="81">
        <v>1.6000000000000005</v>
      </c>
      <c r="L9" s="81">
        <v>1.7000000000000006</v>
      </c>
      <c r="M9" s="81">
        <v>1.8000000000000007</v>
      </c>
      <c r="N9" s="81">
        <v>1.9000000000000008</v>
      </c>
      <c r="O9" s="81">
        <v>2.0000000000000009</v>
      </c>
      <c r="P9" s="81">
        <v>2.100000000000001</v>
      </c>
      <c r="Q9" s="81">
        <v>2.2000000000000011</v>
      </c>
      <c r="R9" s="81">
        <v>2.3000000000000012</v>
      </c>
      <c r="S9" s="81">
        <v>2.4000000000000012</v>
      </c>
      <c r="T9" s="81">
        <v>2.5000000000000013</v>
      </c>
      <c r="U9" s="81">
        <v>2.6000000000000014</v>
      </c>
      <c r="V9" s="81">
        <v>2.7000000000000015</v>
      </c>
      <c r="W9" s="81">
        <v>2.8000000000000016</v>
      </c>
      <c r="X9" s="81">
        <v>2.9000000000000017</v>
      </c>
      <c r="Y9" s="81">
        <v>3.0000000000000018</v>
      </c>
      <c r="Z9" s="81">
        <v>3.1000000000000019</v>
      </c>
      <c r="AA9" s="81">
        <v>3.200000000000002</v>
      </c>
      <c r="AB9" s="81">
        <v>3.300000000000002</v>
      </c>
      <c r="AC9" s="81">
        <v>3.4000000000000021</v>
      </c>
      <c r="AD9" s="81">
        <v>3.5000000000000022</v>
      </c>
      <c r="AE9" s="81">
        <v>3.6000000000000023</v>
      </c>
      <c r="AF9" s="81">
        <v>3.7000000000000024</v>
      </c>
      <c r="AG9" s="81">
        <v>3.8000000000000025</v>
      </c>
      <c r="AH9" s="81">
        <v>3.9000000000000026</v>
      </c>
      <c r="AI9" s="81">
        <v>4.0000000000000027</v>
      </c>
    </row>
    <row r="10" spans="1:35" ht="3.75" customHeight="1" x14ac:dyDescent="0.2">
      <c r="A10" s="3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5" ht="15.75" x14ac:dyDescent="0.25">
      <c r="A11" s="79" t="s">
        <v>100</v>
      </c>
      <c r="C11" s="84">
        <f>C4+C6</f>
        <v>581</v>
      </c>
      <c r="E11" s="83" t="str">
        <f>IF(AND(823&lt;=$C11,$C11&lt;=900),E9,"")</f>
        <v/>
      </c>
      <c r="F11" s="83" t="str">
        <f>IF(AND(805&lt;=$C11,$C11&lt;=822),F9,"")</f>
        <v/>
      </c>
      <c r="G11" s="83" t="str">
        <f>IF(AND(787&lt;=$C11,$C11&lt;=804),G9,"")</f>
        <v/>
      </c>
      <c r="H11" s="83" t="str">
        <f>IF(AND(769&lt;=$C11,$C11&lt;=786),H9,"")</f>
        <v/>
      </c>
      <c r="I11" s="83" t="str">
        <f>IF(AND(751&lt;=$C11,$C11&lt;=768),I9,"")</f>
        <v/>
      </c>
      <c r="J11" s="83" t="str">
        <f>IF(AND(733&lt;=$C11,$C11&lt;=750),J9,"")</f>
        <v/>
      </c>
      <c r="K11" s="83" t="str">
        <f>IF(AND(715&lt;=$C11,$C11&lt;=732),K9,"")</f>
        <v/>
      </c>
      <c r="L11" s="83" t="str">
        <f>IF(AND(697&lt;=$C11,$C11&lt;=714),L9,"")</f>
        <v/>
      </c>
      <c r="M11" s="83" t="str">
        <f>IF(AND(679&lt;=$C11,$C11&lt;=696),M9,"")</f>
        <v/>
      </c>
      <c r="N11" s="83" t="str">
        <f>IF(AND(661&lt;=$C11,$C11&lt;=678),N9,"")</f>
        <v/>
      </c>
      <c r="O11" s="83" t="str">
        <f>IF(AND(643&lt;=$C11,$C11&lt;=660),O9,"")</f>
        <v/>
      </c>
      <c r="P11" s="83" t="str">
        <f>IF(AND(625&lt;=$C11,$C11&lt;=642),P9,"")</f>
        <v/>
      </c>
      <c r="Q11" s="83" t="str">
        <f>IF(AND(607&lt;=$C11,$C11&lt;=624),Q9,"")</f>
        <v/>
      </c>
      <c r="R11" s="83" t="str">
        <f>IF(AND(589&lt;=$C11,$C11&lt;=606),R9,"")</f>
        <v/>
      </c>
      <c r="S11" s="83">
        <f>IF(AND(571&lt;=$C11,$C11&lt;=588),S9,"")</f>
        <v>2.4000000000000012</v>
      </c>
      <c r="T11" s="83" t="str">
        <f>IF(AND(553&lt;=$C11,$C11&lt;=570),T9,"")</f>
        <v/>
      </c>
      <c r="U11" s="83" t="str">
        <f>IF(AND(535&lt;=$C11,$C11&lt;=552),U9,"")</f>
        <v/>
      </c>
      <c r="V11" s="83" t="str">
        <f>IF(AND(517&lt;=$C11,$C11&lt;=534),V9,"")</f>
        <v/>
      </c>
      <c r="W11" s="83" t="str">
        <f>IF(AND(499&lt;=$C11,$C11&lt;=516),W9,"")</f>
        <v/>
      </c>
      <c r="X11" s="83" t="str">
        <f>IF(AND(481&lt;=$C11,$C11&lt;=498),X9,"")</f>
        <v/>
      </c>
      <c r="Y11" s="83" t="str">
        <f>IF(AND(463&lt;=$C11,$C11&lt;=480),Y9,"")</f>
        <v/>
      </c>
      <c r="Z11" s="83" t="str">
        <f>IF(AND(445&lt;=$C11,$C11&lt;=462),Z9,"")</f>
        <v/>
      </c>
      <c r="AA11" s="83" t="str">
        <f>IF(AND(427&lt;=$C11,$C11&lt;=440),AA9,"")</f>
        <v/>
      </c>
      <c r="AB11" s="83" t="str">
        <f>IF(AND(409&lt;=$C11,$C11&lt;=426),AB9,"")</f>
        <v/>
      </c>
      <c r="AC11" s="83" t="str">
        <f>IF(AND(391&lt;=$C11,$C11&lt;=408),AC9,"")</f>
        <v/>
      </c>
      <c r="AD11" s="83" t="str">
        <f>IF(AND(373&lt;=$C11,$C11&lt;=390),AD9,"")</f>
        <v/>
      </c>
      <c r="AE11" s="83" t="str">
        <f>IF(AND(355&lt;=$C11,$C11&lt;=372),AE9,"")</f>
        <v/>
      </c>
      <c r="AF11" s="83" t="str">
        <f>IF(AND(337&lt;=$C11,$C11&lt;=354),AF9,"")</f>
        <v/>
      </c>
      <c r="AG11" s="83" t="str">
        <f>IF(AND(319&lt;=$C11,$C11&lt;=336),AG9,"")</f>
        <v/>
      </c>
      <c r="AH11" s="83" t="str">
        <f>IF(AND(301&lt;=$C11,$C11&lt;=318),AH9,"")</f>
        <v/>
      </c>
      <c r="AI11" s="83" t="str">
        <f>IF(AND(300&lt;=$C11,$C11&lt;=300),AI9,"")</f>
        <v/>
      </c>
    </row>
    <row r="12" spans="1:35" x14ac:dyDescent="0.2">
      <c r="E12" s="85">
        <v>900</v>
      </c>
      <c r="F12" s="85">
        <f>E12-78</f>
        <v>822</v>
      </c>
      <c r="G12" s="85">
        <f>F12-18</f>
        <v>804</v>
      </c>
      <c r="H12" s="85">
        <f t="shared" ref="H12:AI12" si="0">G12-18</f>
        <v>786</v>
      </c>
      <c r="I12" s="85">
        <f t="shared" si="0"/>
        <v>768</v>
      </c>
      <c r="J12" s="85">
        <f t="shared" si="0"/>
        <v>750</v>
      </c>
      <c r="K12" s="85">
        <f t="shared" si="0"/>
        <v>732</v>
      </c>
      <c r="L12" s="85">
        <f t="shared" si="0"/>
        <v>714</v>
      </c>
      <c r="M12" s="85">
        <f t="shared" si="0"/>
        <v>696</v>
      </c>
      <c r="N12" s="85">
        <f t="shared" si="0"/>
        <v>678</v>
      </c>
      <c r="O12" s="85">
        <f t="shared" si="0"/>
        <v>660</v>
      </c>
      <c r="P12" s="85">
        <f t="shared" si="0"/>
        <v>642</v>
      </c>
      <c r="Q12" s="85">
        <f t="shared" si="0"/>
        <v>624</v>
      </c>
      <c r="R12" s="85">
        <f t="shared" si="0"/>
        <v>606</v>
      </c>
      <c r="S12" s="85">
        <f t="shared" si="0"/>
        <v>588</v>
      </c>
      <c r="T12" s="85">
        <f t="shared" si="0"/>
        <v>570</v>
      </c>
      <c r="U12" s="85">
        <f t="shared" si="0"/>
        <v>552</v>
      </c>
      <c r="V12" s="85">
        <f t="shared" si="0"/>
        <v>534</v>
      </c>
      <c r="W12" s="85">
        <f t="shared" si="0"/>
        <v>516</v>
      </c>
      <c r="X12" s="85">
        <f t="shared" si="0"/>
        <v>498</v>
      </c>
      <c r="Y12" s="85">
        <f t="shared" si="0"/>
        <v>480</v>
      </c>
      <c r="Z12" s="85">
        <f t="shared" si="0"/>
        <v>462</v>
      </c>
      <c r="AA12" s="85">
        <f t="shared" si="0"/>
        <v>444</v>
      </c>
      <c r="AB12" s="85">
        <f t="shared" si="0"/>
        <v>426</v>
      </c>
      <c r="AC12" s="85">
        <f t="shared" si="0"/>
        <v>408</v>
      </c>
      <c r="AD12" s="85">
        <f t="shared" si="0"/>
        <v>390</v>
      </c>
      <c r="AE12" s="85">
        <f t="shared" si="0"/>
        <v>372</v>
      </c>
      <c r="AF12" s="85">
        <f t="shared" si="0"/>
        <v>354</v>
      </c>
      <c r="AG12" s="85">
        <f t="shared" si="0"/>
        <v>336</v>
      </c>
      <c r="AH12" s="85">
        <f t="shared" si="0"/>
        <v>318</v>
      </c>
      <c r="AI12" s="85">
        <f t="shared" si="0"/>
        <v>300</v>
      </c>
    </row>
    <row r="13" spans="1:35" ht="15.75" x14ac:dyDescent="0.25">
      <c r="A13" s="79" t="s">
        <v>99</v>
      </c>
      <c r="C13" s="113">
        <f>IF(SUM(E11:AI11)&lt;&gt;0,SUM(E11:AI11),"")</f>
        <v>2.4000000000000012</v>
      </c>
      <c r="E13" s="83" t="str">
        <f t="shared" ref="E13:AH13" si="1">IF(AND(F12+1&lt;=$C11,$C11&lt;=E12),E9,"")</f>
        <v/>
      </c>
      <c r="F13" s="83" t="str">
        <f t="shared" si="1"/>
        <v/>
      </c>
      <c r="G13" s="83" t="str">
        <f t="shared" si="1"/>
        <v/>
      </c>
      <c r="H13" s="83" t="str">
        <f t="shared" si="1"/>
        <v/>
      </c>
      <c r="I13" s="83" t="str">
        <f t="shared" si="1"/>
        <v/>
      </c>
      <c r="J13" s="83" t="str">
        <f t="shared" si="1"/>
        <v/>
      </c>
      <c r="K13" s="83" t="str">
        <f t="shared" si="1"/>
        <v/>
      </c>
      <c r="L13" s="83" t="str">
        <f t="shared" si="1"/>
        <v/>
      </c>
      <c r="M13" s="83" t="str">
        <f t="shared" si="1"/>
        <v/>
      </c>
      <c r="N13" s="83" t="str">
        <f t="shared" si="1"/>
        <v/>
      </c>
      <c r="O13" s="83" t="str">
        <f t="shared" si="1"/>
        <v/>
      </c>
      <c r="P13" s="83" t="str">
        <f t="shared" si="1"/>
        <v/>
      </c>
      <c r="Q13" s="83" t="str">
        <f t="shared" si="1"/>
        <v/>
      </c>
      <c r="R13" s="83" t="str">
        <f t="shared" si="1"/>
        <v/>
      </c>
      <c r="S13" s="83">
        <f t="shared" si="1"/>
        <v>2.4000000000000012</v>
      </c>
      <c r="T13" s="83" t="str">
        <f t="shared" si="1"/>
        <v/>
      </c>
      <c r="U13" s="83" t="str">
        <f t="shared" si="1"/>
        <v/>
      </c>
      <c r="V13" s="83" t="str">
        <f t="shared" si="1"/>
        <v/>
      </c>
      <c r="W13" s="83" t="str">
        <f t="shared" si="1"/>
        <v/>
      </c>
      <c r="X13" s="83" t="str">
        <f t="shared" si="1"/>
        <v/>
      </c>
      <c r="Y13" s="83" t="str">
        <f t="shared" si="1"/>
        <v/>
      </c>
      <c r="Z13" s="83" t="str">
        <f t="shared" si="1"/>
        <v/>
      </c>
      <c r="AA13" s="83" t="str">
        <f t="shared" si="1"/>
        <v/>
      </c>
      <c r="AB13" s="83" t="str">
        <f t="shared" si="1"/>
        <v/>
      </c>
      <c r="AC13" s="83" t="str">
        <f t="shared" si="1"/>
        <v/>
      </c>
      <c r="AD13" s="83" t="str">
        <f t="shared" si="1"/>
        <v/>
      </c>
      <c r="AE13" s="83" t="str">
        <f t="shared" si="1"/>
        <v/>
      </c>
      <c r="AF13" s="83" t="str">
        <f t="shared" si="1"/>
        <v/>
      </c>
      <c r="AG13" s="83" t="str">
        <f t="shared" si="1"/>
        <v/>
      </c>
      <c r="AH13" s="83" t="str">
        <f t="shared" si="1"/>
        <v/>
      </c>
      <c r="AI13" s="83" t="str">
        <f>IF(AND(AJ13+1&lt;=$C11,$C11&lt;=AI12),AI9,"")</f>
        <v/>
      </c>
    </row>
  </sheetData>
  <pageMargins left="0.59055118110236227" right="0.19685039370078741" top="0.78740157480314965" bottom="0.39370078740157483" header="0.31496062992125984" footer="0.31496062992125984"/>
  <pageSetup paperSize="9" scale="90" orientation="landscape" r:id="rId1"/>
  <headerFooter>
    <oddHeader>&amp;C&amp;F -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C32"/>
  <sheetViews>
    <sheetView zoomScale="90" zoomScaleNormal="90" workbookViewId="0">
      <selection activeCell="S10" sqref="S10"/>
    </sheetView>
  </sheetViews>
  <sheetFormatPr baseColWidth="10" defaultRowHeight="12.75" x14ac:dyDescent="0.2"/>
  <cols>
    <col min="1" max="7" width="8.7109375" customWidth="1"/>
    <col min="8" max="8" width="14.5703125" customWidth="1"/>
    <col min="9" max="10" width="8.140625" customWidth="1"/>
    <col min="11" max="11" width="2" customWidth="1"/>
    <col min="12" max="12" width="10.42578125" customWidth="1"/>
    <col min="13" max="14" width="6.7109375" customWidth="1"/>
    <col min="15" max="16" width="8.28515625" customWidth="1"/>
    <col min="17" max="17" width="21.85546875" bestFit="1" customWidth="1"/>
    <col min="18" max="18" width="23.28515625" bestFit="1" customWidth="1"/>
    <col min="19" max="19" width="8.140625" customWidth="1"/>
    <col min="20" max="20" width="2" customWidth="1"/>
    <col min="22" max="22" width="16" customWidth="1"/>
    <col min="25" max="27" width="3.28515625" customWidth="1"/>
    <col min="28" max="44" width="3.28515625" bestFit="1" customWidth="1"/>
    <col min="45" max="45" width="3.28515625" customWidth="1"/>
    <col min="46" max="55" width="3.28515625" bestFit="1" customWidth="1"/>
  </cols>
  <sheetData>
    <row r="1" spans="1:55" ht="15.75" x14ac:dyDescent="0.25">
      <c r="A1" s="91" t="s">
        <v>108</v>
      </c>
      <c r="B1" s="92"/>
      <c r="C1" s="92"/>
      <c r="D1" s="92"/>
      <c r="E1" s="92"/>
      <c r="F1" s="92"/>
      <c r="G1" s="92"/>
      <c r="H1" s="93"/>
    </row>
    <row r="2" spans="1:55" x14ac:dyDescent="0.2">
      <c r="B2" s="38"/>
    </row>
    <row r="3" spans="1:55" ht="15.75" x14ac:dyDescent="0.25">
      <c r="A3" s="1" t="s">
        <v>0</v>
      </c>
      <c r="B3" s="1"/>
      <c r="C3" s="1"/>
      <c r="K3" s="90"/>
      <c r="L3" s="43" t="s">
        <v>73</v>
      </c>
      <c r="M3" s="43"/>
      <c r="N3" s="43"/>
      <c r="O3" s="44"/>
      <c r="P3" s="44"/>
      <c r="Q3" s="44"/>
      <c r="R3" s="44"/>
      <c r="S3" s="44"/>
      <c r="T3" s="90"/>
      <c r="U3" s="43" t="s">
        <v>96</v>
      </c>
    </row>
    <row r="4" spans="1:55" ht="12.75" customHeight="1" x14ac:dyDescent="0.25">
      <c r="A4" s="1"/>
      <c r="B4" s="1"/>
      <c r="C4" s="1"/>
      <c r="K4" s="90"/>
      <c r="L4" s="43"/>
      <c r="M4" s="43"/>
      <c r="N4" s="43"/>
      <c r="O4" s="44"/>
      <c r="P4" s="44"/>
      <c r="Q4" s="44"/>
      <c r="R4" s="44"/>
      <c r="S4" s="44"/>
      <c r="T4" s="90"/>
      <c r="U4" s="87" t="s">
        <v>107</v>
      </c>
    </row>
    <row r="5" spans="1:55" x14ac:dyDescent="0.2">
      <c r="A5" s="2" t="s">
        <v>1</v>
      </c>
      <c r="B5" s="2"/>
      <c r="C5" s="3">
        <v>3</v>
      </c>
      <c r="D5" s="4" t="s">
        <v>2</v>
      </c>
      <c r="E5" s="4"/>
      <c r="F5" s="4"/>
      <c r="G5" s="4"/>
      <c r="H5" s="2" t="s">
        <v>105</v>
      </c>
      <c r="K5" s="90"/>
      <c r="L5" s="45" t="s">
        <v>1</v>
      </c>
      <c r="M5" s="45"/>
      <c r="N5" s="46">
        <v>3</v>
      </c>
      <c r="O5" s="47" t="s">
        <v>2</v>
      </c>
      <c r="P5" s="44"/>
      <c r="Q5" s="44"/>
      <c r="R5" s="2" t="s">
        <v>105</v>
      </c>
      <c r="S5" s="44"/>
      <c r="T5" s="90"/>
    </row>
    <row r="6" spans="1:55" ht="7.5" customHeight="1" x14ac:dyDescent="0.2">
      <c r="A6" s="5"/>
      <c r="B6" s="5"/>
      <c r="C6" s="6"/>
      <c r="K6" s="90"/>
      <c r="L6" s="48"/>
      <c r="M6" s="48"/>
      <c r="N6" s="49"/>
      <c r="O6" s="44"/>
      <c r="P6" s="44"/>
      <c r="Q6" s="44"/>
      <c r="R6" s="44"/>
      <c r="S6" s="44"/>
      <c r="T6" s="90"/>
    </row>
    <row r="7" spans="1:55" ht="15.75" x14ac:dyDescent="0.25">
      <c r="A7" s="5" t="s">
        <v>3</v>
      </c>
      <c r="B7" s="6" t="s">
        <v>4</v>
      </c>
      <c r="C7" s="6" t="s">
        <v>5</v>
      </c>
      <c r="D7" s="123" t="s">
        <v>6</v>
      </c>
      <c r="E7" s="124"/>
      <c r="F7" s="124"/>
      <c r="G7" s="124"/>
      <c r="H7" s="7" t="s">
        <v>7</v>
      </c>
      <c r="I7" s="7" t="s">
        <v>8</v>
      </c>
      <c r="J7" s="7" t="s">
        <v>9</v>
      </c>
      <c r="K7" s="90"/>
      <c r="L7" s="44"/>
      <c r="M7" s="44"/>
      <c r="N7" s="44"/>
      <c r="O7" s="125" t="s">
        <v>74</v>
      </c>
      <c r="P7" s="126"/>
      <c r="Q7" s="44"/>
      <c r="R7" s="50"/>
      <c r="S7" s="44"/>
      <c r="T7" s="90"/>
      <c r="U7" s="78" t="s">
        <v>97</v>
      </c>
      <c r="W7" s="29">
        <f>J25</f>
        <v>359</v>
      </c>
    </row>
    <row r="8" spans="1:55" ht="15.75" x14ac:dyDescent="0.25">
      <c r="A8" s="5"/>
      <c r="B8" s="6"/>
      <c r="C8" s="5"/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/>
      <c r="J8" s="11"/>
      <c r="K8" s="90"/>
      <c r="L8" s="48" t="s">
        <v>3</v>
      </c>
      <c r="M8" s="49" t="s">
        <v>4</v>
      </c>
      <c r="N8" s="49" t="s">
        <v>5</v>
      </c>
      <c r="O8" s="52" t="s">
        <v>75</v>
      </c>
      <c r="P8" s="44"/>
      <c r="Q8" s="53" t="s">
        <v>76</v>
      </c>
      <c r="R8" s="53" t="s">
        <v>77</v>
      </c>
      <c r="S8" s="51" t="s">
        <v>9</v>
      </c>
      <c r="T8" s="90"/>
      <c r="U8" s="78"/>
    </row>
    <row r="9" spans="1:55" ht="15.75" x14ac:dyDescent="0.25">
      <c r="A9" s="5" t="s">
        <v>17</v>
      </c>
      <c r="B9" s="6" t="s">
        <v>18</v>
      </c>
      <c r="C9" s="6" t="s">
        <v>19</v>
      </c>
      <c r="D9" s="12">
        <v>8</v>
      </c>
      <c r="E9" s="12">
        <v>6</v>
      </c>
      <c r="F9" s="12">
        <v>10</v>
      </c>
      <c r="G9" s="12">
        <v>10</v>
      </c>
      <c r="H9" s="7">
        <f>COUNTIF(D9:G9,"&gt;0")</f>
        <v>4</v>
      </c>
      <c r="I9" s="13">
        <v>2</v>
      </c>
      <c r="J9" s="14">
        <f>SUM(D9:G9)*I9</f>
        <v>68</v>
      </c>
      <c r="K9" s="90"/>
      <c r="L9" s="44"/>
      <c r="M9" s="44"/>
      <c r="N9" s="44"/>
      <c r="O9" s="54" t="s">
        <v>78</v>
      </c>
      <c r="P9" s="54" t="s">
        <v>79</v>
      </c>
      <c r="Q9" s="44"/>
      <c r="R9" s="44"/>
      <c r="S9" s="50"/>
      <c r="T9" s="90"/>
      <c r="U9" s="78" t="s">
        <v>98</v>
      </c>
      <c r="W9" s="29">
        <f>S19</f>
        <v>113</v>
      </c>
    </row>
    <row r="10" spans="1:55" ht="15.75" x14ac:dyDescent="0.25">
      <c r="A10" s="5" t="s">
        <v>21</v>
      </c>
      <c r="B10" s="6" t="s">
        <v>22</v>
      </c>
      <c r="C10" s="6" t="s">
        <v>23</v>
      </c>
      <c r="D10" s="12">
        <v>11</v>
      </c>
      <c r="E10" s="12">
        <v>8</v>
      </c>
      <c r="F10" s="12">
        <v>10</v>
      </c>
      <c r="G10" s="12">
        <v>9</v>
      </c>
      <c r="H10" s="7">
        <f t="shared" ref="H10:H19" si="0">COUNTIF(D10:G10,"&gt;0")</f>
        <v>4</v>
      </c>
      <c r="I10" s="13">
        <v>2</v>
      </c>
      <c r="J10" s="14">
        <f t="shared" ref="J10:J20" si="1">SUM(D10:G10)*I10</f>
        <v>76</v>
      </c>
      <c r="K10" s="90"/>
      <c r="L10" s="48" t="s">
        <v>17</v>
      </c>
      <c r="M10" s="49" t="s">
        <v>18</v>
      </c>
      <c r="N10" s="49" t="s">
        <v>19</v>
      </c>
      <c r="O10" s="12">
        <v>2</v>
      </c>
      <c r="P10" s="25"/>
      <c r="Q10" s="56">
        <v>5</v>
      </c>
      <c r="R10" s="57">
        <v>4</v>
      </c>
      <c r="S10" s="58">
        <f>ROUND(IF(AND($P$14="",$P$16=""),Q10,R10)*IF(P10&lt;&gt;"",(O10*2+P10)/3,O10),0)</f>
        <v>8</v>
      </c>
      <c r="T10" s="90"/>
      <c r="U10" s="78"/>
    </row>
    <row r="11" spans="1:55" x14ac:dyDescent="0.2">
      <c r="A11" s="5" t="s">
        <v>25</v>
      </c>
      <c r="B11" s="6" t="s">
        <v>26</v>
      </c>
      <c r="C11" s="6" t="s">
        <v>27</v>
      </c>
      <c r="D11" s="12">
        <v>10</v>
      </c>
      <c r="E11" s="12">
        <v>6</v>
      </c>
      <c r="F11" s="12">
        <v>7</v>
      </c>
      <c r="G11" s="12">
        <v>7</v>
      </c>
      <c r="H11" s="7">
        <f t="shared" si="0"/>
        <v>4</v>
      </c>
      <c r="I11" s="13">
        <v>1</v>
      </c>
      <c r="J11" s="14">
        <f t="shared" si="1"/>
        <v>30</v>
      </c>
      <c r="K11" s="90"/>
      <c r="L11" s="48" t="s">
        <v>21</v>
      </c>
      <c r="M11" s="49" t="s">
        <v>22</v>
      </c>
      <c r="N11" s="49" t="s">
        <v>23</v>
      </c>
      <c r="O11" s="12">
        <v>4</v>
      </c>
      <c r="P11" s="25"/>
      <c r="Q11" s="56">
        <v>5</v>
      </c>
      <c r="R11" s="57">
        <v>4</v>
      </c>
      <c r="S11" s="58">
        <f t="shared" ref="S11:S12" si="2">ROUND(IF(AND($P$14="",$P$16=""),Q11,R11)*IF(P11&lt;&gt;"",(O11*2+P11)/3,O11),0)</f>
        <v>16</v>
      </c>
      <c r="T11" s="90"/>
      <c r="U11" s="80" t="s">
        <v>101</v>
      </c>
      <c r="Y11" s="81">
        <v>1</v>
      </c>
      <c r="Z11" s="81">
        <v>1.1000000000000001</v>
      </c>
      <c r="AA11" s="81">
        <v>1.2000000000000002</v>
      </c>
      <c r="AB11" s="81">
        <v>1.3000000000000003</v>
      </c>
      <c r="AC11" s="81">
        <v>1.4000000000000004</v>
      </c>
      <c r="AD11" s="81">
        <v>1.5000000000000004</v>
      </c>
      <c r="AE11" s="81">
        <v>1.6000000000000005</v>
      </c>
      <c r="AF11" s="81">
        <v>1.7000000000000006</v>
      </c>
      <c r="AG11" s="81">
        <v>1.8000000000000007</v>
      </c>
      <c r="AH11" s="81">
        <v>1.9000000000000008</v>
      </c>
      <c r="AI11" s="81">
        <v>2.0000000000000009</v>
      </c>
      <c r="AJ11" s="81">
        <v>2.100000000000001</v>
      </c>
      <c r="AK11" s="81">
        <v>2.2000000000000011</v>
      </c>
      <c r="AL11" s="81">
        <v>2.3000000000000012</v>
      </c>
      <c r="AM11" s="81">
        <v>2.4000000000000012</v>
      </c>
      <c r="AN11" s="81">
        <v>2.5000000000000013</v>
      </c>
      <c r="AO11" s="81">
        <v>2.6000000000000014</v>
      </c>
      <c r="AP11" s="81">
        <v>2.7000000000000015</v>
      </c>
      <c r="AQ11" s="81">
        <v>2.8000000000000016</v>
      </c>
      <c r="AR11" s="81">
        <v>2.9000000000000017</v>
      </c>
      <c r="AS11" s="81">
        <v>3.0000000000000018</v>
      </c>
      <c r="AT11" s="81">
        <v>3.1000000000000019</v>
      </c>
      <c r="AU11" s="81">
        <v>3.200000000000002</v>
      </c>
      <c r="AV11" s="81">
        <v>3.300000000000002</v>
      </c>
      <c r="AW11" s="81">
        <v>3.4000000000000021</v>
      </c>
      <c r="AX11" s="81">
        <v>3.5000000000000022</v>
      </c>
      <c r="AY11" s="81">
        <v>3.6000000000000023</v>
      </c>
      <c r="AZ11" s="81">
        <v>3.7000000000000024</v>
      </c>
      <c r="BA11" s="81">
        <v>3.8000000000000025</v>
      </c>
      <c r="BB11" s="81">
        <v>3.9000000000000026</v>
      </c>
      <c r="BC11" s="81">
        <v>4.0000000000000027</v>
      </c>
    </row>
    <row r="12" spans="1:55" x14ac:dyDescent="0.2">
      <c r="A12" s="5" t="s">
        <v>29</v>
      </c>
      <c r="B12" s="6" t="s">
        <v>30</v>
      </c>
      <c r="C12" s="6" t="s">
        <v>31</v>
      </c>
      <c r="D12" s="12">
        <v>5</v>
      </c>
      <c r="E12" s="12">
        <v>8</v>
      </c>
      <c r="F12" s="12">
        <v>6</v>
      </c>
      <c r="G12" s="12">
        <v>11</v>
      </c>
      <c r="H12" s="7">
        <f t="shared" si="0"/>
        <v>4</v>
      </c>
      <c r="I12" s="13">
        <v>1</v>
      </c>
      <c r="J12" s="14">
        <f t="shared" si="1"/>
        <v>30</v>
      </c>
      <c r="K12" s="90"/>
      <c r="L12" s="48" t="s">
        <v>25</v>
      </c>
      <c r="M12" s="49" t="s">
        <v>26</v>
      </c>
      <c r="N12" s="49" t="s">
        <v>27</v>
      </c>
      <c r="O12" s="12">
        <v>3</v>
      </c>
      <c r="P12" s="19">
        <v>10</v>
      </c>
      <c r="Q12" s="56">
        <v>5</v>
      </c>
      <c r="R12" s="57">
        <v>4</v>
      </c>
      <c r="S12" s="58">
        <f t="shared" si="2"/>
        <v>21</v>
      </c>
      <c r="T12" s="90"/>
      <c r="U12" s="3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</row>
    <row r="13" spans="1:55" ht="15.75" x14ac:dyDescent="0.25">
      <c r="A13" s="16" t="s">
        <v>33</v>
      </c>
      <c r="B13" s="17" t="s">
        <v>34</v>
      </c>
      <c r="C13" s="17" t="s">
        <v>72</v>
      </c>
      <c r="D13" s="12">
        <v>8</v>
      </c>
      <c r="E13" s="12">
        <v>11</v>
      </c>
      <c r="F13" s="12">
        <v>7</v>
      </c>
      <c r="G13" s="12">
        <v>7</v>
      </c>
      <c r="H13" s="7">
        <f t="shared" si="0"/>
        <v>4</v>
      </c>
      <c r="I13" s="13">
        <v>1</v>
      </c>
      <c r="J13" s="14">
        <f t="shared" si="1"/>
        <v>33</v>
      </c>
      <c r="K13" s="90"/>
      <c r="L13" s="48" t="s">
        <v>32</v>
      </c>
      <c r="M13" s="49" t="s">
        <v>30</v>
      </c>
      <c r="N13" s="49" t="s">
        <v>31</v>
      </c>
      <c r="O13" s="88"/>
      <c r="P13" s="12">
        <v>12</v>
      </c>
      <c r="Q13" s="56">
        <v>5</v>
      </c>
      <c r="R13" s="57">
        <v>4</v>
      </c>
      <c r="S13" s="58">
        <f>IF(AND($P$14="",$P$16=""),Q13,IF(AND(M16=M13,P16&gt;P13),0,R13))*P13</f>
        <v>48</v>
      </c>
      <c r="T13" s="90"/>
      <c r="U13" s="79" t="s">
        <v>100</v>
      </c>
      <c r="W13" s="84">
        <f>W7+W9</f>
        <v>472</v>
      </c>
      <c r="Y13" s="83" t="str">
        <f>IF(AND(823&lt;=$W13,$W13&lt;=900),Y11,"")</f>
        <v/>
      </c>
      <c r="Z13" s="83" t="str">
        <f>IF(AND(805&lt;=$W13,$W13&lt;=822),Z11,"")</f>
        <v/>
      </c>
      <c r="AA13" s="83" t="str">
        <f>IF(AND(787&lt;=$W13,$W13&lt;=804),AA11,"")</f>
        <v/>
      </c>
      <c r="AB13" s="83" t="str">
        <f>IF(AND(769&lt;=$W13,$W13&lt;=786),AB11,"")</f>
        <v/>
      </c>
      <c r="AC13" s="83" t="str">
        <f>IF(AND(751&lt;=$W13,$W13&lt;=768),AC11,"")</f>
        <v/>
      </c>
      <c r="AD13" s="83" t="str">
        <f>IF(AND(733&lt;=$W13,$W13&lt;=750),AD11,"")</f>
        <v/>
      </c>
      <c r="AE13" s="83" t="str">
        <f>IF(AND(715&lt;=$W13,$W13&lt;=732),AE11,"")</f>
        <v/>
      </c>
      <c r="AF13" s="83" t="str">
        <f>IF(AND(697&lt;=$W13,$W13&lt;=714),AF11,"")</f>
        <v/>
      </c>
      <c r="AG13" s="83" t="str">
        <f>IF(AND(679&lt;=$W13,$W13&lt;=696),AG11,"")</f>
        <v/>
      </c>
      <c r="AH13" s="83" t="str">
        <f>IF(AND(661&lt;=$W13,$W13&lt;=678),AH11,"")</f>
        <v/>
      </c>
      <c r="AI13" s="83" t="str">
        <f>IF(AND(643&lt;=$W13,$W13&lt;=660),AI11,"")</f>
        <v/>
      </c>
      <c r="AJ13" s="83" t="str">
        <f>IF(AND(625&lt;=$W13,$W13&lt;=642),AJ11,"")</f>
        <v/>
      </c>
      <c r="AK13" s="83" t="str">
        <f>IF(AND(607&lt;=$W13,$W13&lt;=624),AK11,"")</f>
        <v/>
      </c>
      <c r="AL13" s="83" t="str">
        <f>IF(AND(589&lt;=$W13,$W13&lt;=606),AL11,"")</f>
        <v/>
      </c>
      <c r="AM13" s="83" t="str">
        <f>IF(AND(571&lt;=$W13,$W13&lt;=588),AM11,"")</f>
        <v/>
      </c>
      <c r="AN13" s="83" t="str">
        <f>IF(AND(553&lt;=$W13,$W13&lt;=570),AN11,"")</f>
        <v/>
      </c>
      <c r="AO13" s="83" t="str">
        <f>IF(AND(535&lt;=$W13,$W13&lt;=552),AO11,"")</f>
        <v/>
      </c>
      <c r="AP13" s="83" t="str">
        <f>IF(AND(517&lt;=$W13,$W13&lt;=534),AP11,"")</f>
        <v/>
      </c>
      <c r="AQ13" s="83" t="str">
        <f>IF(AND(499&lt;=$W13,$W13&lt;=516),AQ11,"")</f>
        <v/>
      </c>
      <c r="AR13" s="83" t="str">
        <f>IF(AND(481&lt;=$W13,$W13&lt;=498),AR11,"")</f>
        <v/>
      </c>
      <c r="AS13" s="83">
        <f>IF(AND(463&lt;=$W13,$W13&lt;=480),AS11,"")</f>
        <v>3.0000000000000018</v>
      </c>
      <c r="AT13" s="83" t="str">
        <f>IF(AND(445&lt;=$W13,$W13&lt;=462),AT11,"")</f>
        <v/>
      </c>
      <c r="AU13" s="83" t="str">
        <f>IF(AND(427&lt;=$W13,$W13&lt;=440),AU11,"")</f>
        <v/>
      </c>
      <c r="AV13" s="83" t="str">
        <f>IF(AND(409&lt;=$W13,$W13&lt;=426),AV11,"")</f>
        <v/>
      </c>
      <c r="AW13" s="83" t="str">
        <f>IF(AND(391&lt;=$W13,$W13&lt;=408),AW11,"")</f>
        <v/>
      </c>
      <c r="AX13" s="83" t="str">
        <f>IF(AND(373&lt;=$W13,$W13&lt;=390),AX11,"")</f>
        <v/>
      </c>
      <c r="AY13" s="83" t="str">
        <f>IF(AND(355&lt;=$W13,$W13&lt;=372),AY11,"")</f>
        <v/>
      </c>
      <c r="AZ13" s="83" t="str">
        <f>IF(AND(337&lt;=$W13,$W13&lt;=354),AZ11,"")</f>
        <v/>
      </c>
      <c r="BA13" s="83" t="str">
        <f>IF(AND(319&lt;=$W13,$W13&lt;=336),BA11,"")</f>
        <v/>
      </c>
      <c r="BB13" s="83" t="str">
        <f>IF(AND(301&lt;=$W13,$W13&lt;=318),BB11,"")</f>
        <v/>
      </c>
      <c r="BC13" s="83" t="str">
        <f>IF(AND(300&lt;=$W13,$W13&lt;=300),BC11,"")</f>
        <v/>
      </c>
    </row>
    <row r="14" spans="1:55" x14ac:dyDescent="0.2">
      <c r="A14" s="16" t="s">
        <v>36</v>
      </c>
      <c r="B14" s="17" t="s">
        <v>37</v>
      </c>
      <c r="D14" s="19">
        <v>10</v>
      </c>
      <c r="E14" s="19">
        <v>8</v>
      </c>
      <c r="F14" s="19">
        <v>9</v>
      </c>
      <c r="G14" s="12">
        <v>11</v>
      </c>
      <c r="H14" s="7">
        <f t="shared" si="0"/>
        <v>4</v>
      </c>
      <c r="I14" s="13">
        <v>1</v>
      </c>
      <c r="J14" s="14">
        <f t="shared" si="1"/>
        <v>38</v>
      </c>
      <c r="K14" s="90"/>
      <c r="L14" s="48" t="s">
        <v>85</v>
      </c>
      <c r="M14" s="49"/>
      <c r="N14" s="49" t="s">
        <v>72</v>
      </c>
      <c r="O14" s="88"/>
      <c r="P14" s="12">
        <v>5</v>
      </c>
      <c r="Q14" s="56">
        <v>5</v>
      </c>
      <c r="R14" s="57">
        <v>4</v>
      </c>
      <c r="S14" s="58">
        <f>IF($P$14="",0,IF(AND(M16=M14,P16&gt;P14),0,R14))*P14</f>
        <v>20</v>
      </c>
      <c r="T14" s="90"/>
      <c r="Y14" s="85">
        <v>900</v>
      </c>
      <c r="Z14" s="85">
        <f>Y14-78</f>
        <v>822</v>
      </c>
      <c r="AA14" s="85">
        <f>Z14-18</f>
        <v>804</v>
      </c>
      <c r="AB14" s="85">
        <f t="shared" ref="AB14:BC14" si="3">AA14-18</f>
        <v>786</v>
      </c>
      <c r="AC14" s="85">
        <f t="shared" si="3"/>
        <v>768</v>
      </c>
      <c r="AD14" s="85">
        <f t="shared" si="3"/>
        <v>750</v>
      </c>
      <c r="AE14" s="85">
        <f t="shared" si="3"/>
        <v>732</v>
      </c>
      <c r="AF14" s="85">
        <f t="shared" si="3"/>
        <v>714</v>
      </c>
      <c r="AG14" s="85">
        <f t="shared" si="3"/>
        <v>696</v>
      </c>
      <c r="AH14" s="85">
        <f t="shared" si="3"/>
        <v>678</v>
      </c>
      <c r="AI14" s="85">
        <f t="shared" si="3"/>
        <v>660</v>
      </c>
      <c r="AJ14" s="85">
        <f t="shared" si="3"/>
        <v>642</v>
      </c>
      <c r="AK14" s="85">
        <f t="shared" si="3"/>
        <v>624</v>
      </c>
      <c r="AL14" s="85">
        <f t="shared" si="3"/>
        <v>606</v>
      </c>
      <c r="AM14" s="85">
        <f t="shared" si="3"/>
        <v>588</v>
      </c>
      <c r="AN14" s="85">
        <f t="shared" si="3"/>
        <v>570</v>
      </c>
      <c r="AO14" s="85">
        <f t="shared" si="3"/>
        <v>552</v>
      </c>
      <c r="AP14" s="85">
        <f t="shared" si="3"/>
        <v>534</v>
      </c>
      <c r="AQ14" s="85">
        <f t="shared" si="3"/>
        <v>516</v>
      </c>
      <c r="AR14" s="85">
        <f t="shared" si="3"/>
        <v>498</v>
      </c>
      <c r="AS14" s="85">
        <f t="shared" si="3"/>
        <v>480</v>
      </c>
      <c r="AT14" s="85">
        <f t="shared" si="3"/>
        <v>462</v>
      </c>
      <c r="AU14" s="85">
        <f t="shared" si="3"/>
        <v>444</v>
      </c>
      <c r="AV14" s="85">
        <f t="shared" si="3"/>
        <v>426</v>
      </c>
      <c r="AW14" s="85">
        <f t="shared" si="3"/>
        <v>408</v>
      </c>
      <c r="AX14" s="85">
        <f t="shared" si="3"/>
        <v>390</v>
      </c>
      <c r="AY14" s="85">
        <f t="shared" si="3"/>
        <v>372</v>
      </c>
      <c r="AZ14" s="85">
        <f t="shared" si="3"/>
        <v>354</v>
      </c>
      <c r="BA14" s="85">
        <f t="shared" si="3"/>
        <v>336</v>
      </c>
      <c r="BB14" s="85">
        <f t="shared" si="3"/>
        <v>318</v>
      </c>
      <c r="BC14" s="85">
        <f t="shared" si="3"/>
        <v>300</v>
      </c>
    </row>
    <row r="15" spans="1:55" ht="15.75" x14ac:dyDescent="0.25">
      <c r="A15" s="16" t="s">
        <v>39</v>
      </c>
      <c r="B15" s="17" t="s">
        <v>40</v>
      </c>
      <c r="D15" s="21" t="s">
        <v>41</v>
      </c>
      <c r="E15" s="21" t="s">
        <v>41</v>
      </c>
      <c r="F15" s="21" t="s">
        <v>41</v>
      </c>
      <c r="G15" s="19">
        <v>8</v>
      </c>
      <c r="H15" s="7">
        <f t="shared" si="0"/>
        <v>1</v>
      </c>
      <c r="I15" s="13">
        <v>1</v>
      </c>
      <c r="J15" s="14">
        <f t="shared" si="1"/>
        <v>8</v>
      </c>
      <c r="K15" s="90"/>
      <c r="L15" s="64"/>
      <c r="M15" s="65"/>
      <c r="N15" s="65"/>
      <c r="O15" s="89"/>
      <c r="P15" s="89"/>
      <c r="Q15" s="55"/>
      <c r="R15" s="57"/>
      <c r="S15" s="67"/>
      <c r="T15" s="90"/>
      <c r="U15" s="79" t="s">
        <v>99</v>
      </c>
      <c r="W15" s="113">
        <f>IF(SUM(Y13:BC13)&lt;&gt;0,SUM(Y13:BC13),"")</f>
        <v>3.0000000000000018</v>
      </c>
      <c r="Y15" s="83" t="str">
        <f>IF(AND(Z14+1&lt;=$W13,$W13&lt;=Y14),Y11,"")</f>
        <v/>
      </c>
      <c r="Z15" s="83" t="str">
        <f t="shared" ref="Z15:BC15" si="4">IF(AND(AA14+1&lt;=$W13,$W13&lt;=Z14),Z11,"")</f>
        <v/>
      </c>
      <c r="AA15" s="83" t="str">
        <f t="shared" si="4"/>
        <v/>
      </c>
      <c r="AB15" s="83" t="str">
        <f t="shared" si="4"/>
        <v/>
      </c>
      <c r="AC15" s="83" t="str">
        <f t="shared" si="4"/>
        <v/>
      </c>
      <c r="AD15" s="83" t="str">
        <f t="shared" si="4"/>
        <v/>
      </c>
      <c r="AE15" s="83" t="str">
        <f t="shared" si="4"/>
        <v/>
      </c>
      <c r="AF15" s="83" t="str">
        <f t="shared" si="4"/>
        <v/>
      </c>
      <c r="AG15" s="83" t="str">
        <f t="shared" si="4"/>
        <v/>
      </c>
      <c r="AH15" s="83" t="str">
        <f t="shared" si="4"/>
        <v/>
      </c>
      <c r="AI15" s="83" t="str">
        <f t="shared" si="4"/>
        <v/>
      </c>
      <c r="AJ15" s="83" t="str">
        <f t="shared" si="4"/>
        <v/>
      </c>
      <c r="AK15" s="83" t="str">
        <f t="shared" si="4"/>
        <v/>
      </c>
      <c r="AL15" s="83" t="str">
        <f t="shared" si="4"/>
        <v/>
      </c>
      <c r="AM15" s="83" t="str">
        <f t="shared" si="4"/>
        <v/>
      </c>
      <c r="AN15" s="83" t="str">
        <f t="shared" si="4"/>
        <v/>
      </c>
      <c r="AO15" s="83" t="str">
        <f t="shared" si="4"/>
        <v/>
      </c>
      <c r="AP15" s="83" t="str">
        <f t="shared" si="4"/>
        <v/>
      </c>
      <c r="AQ15" s="83" t="str">
        <f t="shared" si="4"/>
        <v/>
      </c>
      <c r="AR15" s="83" t="str">
        <f t="shared" si="4"/>
        <v/>
      </c>
      <c r="AS15" s="83">
        <f t="shared" si="4"/>
        <v>3.0000000000000018</v>
      </c>
      <c r="AT15" s="83" t="str">
        <f t="shared" si="4"/>
        <v/>
      </c>
      <c r="AU15" s="83" t="str">
        <f t="shared" si="4"/>
        <v/>
      </c>
      <c r="AV15" s="83" t="str">
        <f t="shared" si="4"/>
        <v/>
      </c>
      <c r="AW15" s="83" t="str">
        <f t="shared" si="4"/>
        <v/>
      </c>
      <c r="AX15" s="83" t="str">
        <f t="shared" si="4"/>
        <v/>
      </c>
      <c r="AY15" s="83" t="str">
        <f t="shared" si="4"/>
        <v/>
      </c>
      <c r="AZ15" s="83" t="str">
        <f t="shared" si="4"/>
        <v/>
      </c>
      <c r="BA15" s="83" t="str">
        <f t="shared" si="4"/>
        <v/>
      </c>
      <c r="BB15" s="83" t="str">
        <f t="shared" si="4"/>
        <v/>
      </c>
      <c r="BC15" s="83" t="str">
        <f t="shared" si="4"/>
        <v/>
      </c>
    </row>
    <row r="16" spans="1:55" x14ac:dyDescent="0.2">
      <c r="A16" s="16" t="s">
        <v>43</v>
      </c>
      <c r="B16" s="17" t="s">
        <v>44</v>
      </c>
      <c r="D16" s="21" t="s">
        <v>45</v>
      </c>
      <c r="E16" s="12">
        <v>7</v>
      </c>
      <c r="F16" s="19">
        <v>6</v>
      </c>
      <c r="G16" s="12">
        <v>6</v>
      </c>
      <c r="H16" s="7">
        <f t="shared" si="0"/>
        <v>3</v>
      </c>
      <c r="I16" s="13">
        <v>1</v>
      </c>
      <c r="J16" s="14">
        <f t="shared" si="1"/>
        <v>19</v>
      </c>
      <c r="K16" s="90"/>
      <c r="L16" s="64" t="s">
        <v>87</v>
      </c>
      <c r="M16" s="65"/>
      <c r="N16" s="65"/>
      <c r="O16" s="88"/>
      <c r="P16" s="12"/>
      <c r="Q16" s="63"/>
      <c r="R16" s="57">
        <v>4</v>
      </c>
      <c r="S16" s="58">
        <f>IF(P14="",P16*R16,0)+IF(AND(P14&lt;&gt;"",AND(M16=M13,P16&gt;P13)),P16*R16,0)+IF(AND(P14&lt;&gt;"",AND(M16=M14,P16&gt;P14)),P16*R16,0)</f>
        <v>0</v>
      </c>
      <c r="T16" s="90"/>
    </row>
    <row r="17" spans="1:55" x14ac:dyDescent="0.2">
      <c r="A17" s="16" t="s">
        <v>47</v>
      </c>
      <c r="B17" s="17" t="s">
        <v>48</v>
      </c>
      <c r="D17" s="19">
        <v>12</v>
      </c>
      <c r="E17" s="19">
        <v>10</v>
      </c>
      <c r="F17" s="19">
        <v>10</v>
      </c>
      <c r="G17" s="19">
        <v>8</v>
      </c>
      <c r="H17" s="7">
        <f t="shared" si="0"/>
        <v>4</v>
      </c>
      <c r="I17" s="13">
        <v>1</v>
      </c>
      <c r="J17" s="14">
        <f t="shared" si="1"/>
        <v>40</v>
      </c>
      <c r="K17" s="90"/>
      <c r="L17" s="70" t="s">
        <v>88</v>
      </c>
      <c r="M17" s="64"/>
      <c r="N17" s="64"/>
      <c r="O17" s="66"/>
      <c r="P17" s="66"/>
      <c r="Q17" s="55"/>
      <c r="R17" s="57"/>
      <c r="S17" s="67"/>
      <c r="T17" s="90"/>
      <c r="U17" s="80" t="s">
        <v>103</v>
      </c>
    </row>
    <row r="18" spans="1:55" x14ac:dyDescent="0.2">
      <c r="A18" s="16" t="s">
        <v>50</v>
      </c>
      <c r="B18" s="17" t="s">
        <v>51</v>
      </c>
      <c r="D18" s="19">
        <v>13</v>
      </c>
      <c r="E18" s="21" t="s">
        <v>52</v>
      </c>
      <c r="F18" s="19">
        <v>12</v>
      </c>
      <c r="G18" s="19">
        <v>13</v>
      </c>
      <c r="H18" s="7">
        <f t="shared" si="0"/>
        <v>3</v>
      </c>
      <c r="I18" s="13">
        <v>1</v>
      </c>
      <c r="J18" s="14">
        <f t="shared" si="1"/>
        <v>38</v>
      </c>
      <c r="K18" s="90"/>
      <c r="L18" s="64"/>
      <c r="M18" s="64"/>
      <c r="N18" s="64"/>
      <c r="O18" s="66"/>
      <c r="P18" s="66"/>
      <c r="Q18" s="55"/>
      <c r="R18" s="57"/>
      <c r="S18" s="67"/>
      <c r="T18" s="90"/>
    </row>
    <row r="19" spans="1:55" ht="15.75" x14ac:dyDescent="0.25">
      <c r="A19" s="16" t="s">
        <v>54</v>
      </c>
      <c r="B19" s="17" t="s">
        <v>55</v>
      </c>
      <c r="D19" s="21" t="s">
        <v>56</v>
      </c>
      <c r="E19" s="21" t="s">
        <v>45</v>
      </c>
      <c r="F19" s="21" t="s">
        <v>41</v>
      </c>
      <c r="G19" s="21" t="s">
        <v>56</v>
      </c>
      <c r="H19" s="7">
        <f t="shared" si="0"/>
        <v>0</v>
      </c>
      <c r="I19" s="13">
        <v>1</v>
      </c>
      <c r="J19" s="14">
        <f t="shared" si="1"/>
        <v>0</v>
      </c>
      <c r="K19" s="90"/>
      <c r="L19" s="72" t="s">
        <v>89</v>
      </c>
      <c r="M19" s="72"/>
      <c r="N19" s="72"/>
      <c r="O19" s="44"/>
      <c r="P19" s="44"/>
      <c r="Q19" s="73"/>
      <c r="R19" s="44"/>
      <c r="S19" s="74">
        <f>SUM(S10:S16)</f>
        <v>113</v>
      </c>
      <c r="T19" s="90"/>
      <c r="U19" s="43" t="s">
        <v>96</v>
      </c>
    </row>
    <row r="20" spans="1:55" x14ac:dyDescent="0.2">
      <c r="A20" s="23" t="s">
        <v>58</v>
      </c>
      <c r="B20" s="24" t="s">
        <v>22</v>
      </c>
      <c r="D20" s="25"/>
      <c r="E20" s="25"/>
      <c r="F20" s="26">
        <v>15</v>
      </c>
      <c r="G20" s="25"/>
      <c r="H20" s="7"/>
      <c r="I20" s="13">
        <v>1</v>
      </c>
      <c r="J20" s="14">
        <f t="shared" si="1"/>
        <v>15</v>
      </c>
      <c r="K20" s="90"/>
      <c r="L20" s="64"/>
      <c r="M20" s="64"/>
      <c r="N20" s="64"/>
      <c r="O20" s="44"/>
      <c r="P20" s="44"/>
      <c r="Q20" s="44"/>
      <c r="R20" s="44"/>
      <c r="S20" s="48"/>
      <c r="T20" s="90"/>
      <c r="U20" s="87" t="s">
        <v>106</v>
      </c>
    </row>
    <row r="21" spans="1:55" x14ac:dyDescent="0.2">
      <c r="A21" s="16"/>
      <c r="B21" s="16"/>
      <c r="C21" s="16"/>
      <c r="H21" s="120" t="str">
        <f>IF(COUNTIF($D$9:$G$19,"=1")+COUNTIF($D$9:$G$19,"=2")+COUNTIF($D$9:$G$19,"=3")+COUNTIF($D$9:$G$19,"=4")+COUNTIF($D$9:$G$19,"=5")+COUNTIF($D$9:$G$19,"=6")+COUNTIF($D$9:$G$19,"=7")+COUNTIF($D$9:$G$19,"=8")+COUNTIF($D$9:$G$19,"=9")+COUNTIF($D$9:$G$19,"=10")+COUNTIF($D$9:$G$19,"=11")+COUNTIF($D$9:$G$19,"=12")+COUNTIF($D$9:$G$19,"=13")+COUNTIF($D$9:$G$19,"=14")+COUNTIF($D$9:$G$19,"=15")&lt;&gt;35,"Genau 35 Kurse!!","")</f>
        <v/>
      </c>
      <c r="J21" s="5"/>
      <c r="K21" s="90"/>
      <c r="L21" s="72" t="s">
        <v>90</v>
      </c>
      <c r="M21" s="72"/>
      <c r="N21" s="72"/>
      <c r="O21" s="44"/>
      <c r="P21" s="44"/>
      <c r="Q21" s="44"/>
      <c r="R21" s="44"/>
      <c r="S21" s="55"/>
      <c r="T21" s="90"/>
    </row>
    <row r="22" spans="1:55" ht="15.75" x14ac:dyDescent="0.25">
      <c r="A22" s="28" t="s">
        <v>60</v>
      </c>
      <c r="B22" s="28"/>
      <c r="C22" s="28"/>
      <c r="H22" s="7">
        <f>SUM(H9:H19)</f>
        <v>35</v>
      </c>
      <c r="I22" s="29" t="s">
        <v>61</v>
      </c>
      <c r="J22" s="29">
        <f>SUM(J9:J20)</f>
        <v>395</v>
      </c>
      <c r="K22" s="90"/>
      <c r="L22" s="72" t="s">
        <v>91</v>
      </c>
      <c r="M22" s="72"/>
      <c r="N22" s="72"/>
      <c r="O22" s="44"/>
      <c r="P22" s="44"/>
      <c r="Q22" s="44"/>
      <c r="R22" s="44"/>
      <c r="S22" s="44"/>
      <c r="T22" s="90"/>
      <c r="U22" s="78" t="s">
        <v>97</v>
      </c>
      <c r="W22" s="29">
        <v>350</v>
      </c>
    </row>
    <row r="23" spans="1:55" ht="15.75" x14ac:dyDescent="0.25">
      <c r="J23" s="30">
        <f>J22*40</f>
        <v>15800</v>
      </c>
      <c r="K23" s="90"/>
      <c r="L23" s="44"/>
      <c r="M23" s="44"/>
      <c r="N23" s="44"/>
      <c r="O23" s="44"/>
      <c r="P23" s="44"/>
      <c r="Q23" s="44"/>
      <c r="R23" s="44"/>
      <c r="S23" s="44"/>
      <c r="T23" s="90"/>
      <c r="U23" s="78"/>
    </row>
    <row r="24" spans="1:55" ht="15.75" x14ac:dyDescent="0.25">
      <c r="A24" s="28" t="s">
        <v>64</v>
      </c>
      <c r="B24" s="28"/>
      <c r="C24" s="28"/>
      <c r="I24" s="22"/>
      <c r="J24" s="30">
        <f>J23/44</f>
        <v>359.09090909090907</v>
      </c>
      <c r="K24" s="90"/>
      <c r="L24" s="44" t="s">
        <v>68</v>
      </c>
      <c r="M24" s="44"/>
      <c r="N24" s="44"/>
      <c r="O24" s="44"/>
      <c r="P24" s="76" t="s">
        <v>92</v>
      </c>
      <c r="Q24" s="44"/>
      <c r="R24" s="44"/>
      <c r="S24" s="44"/>
      <c r="T24" s="90"/>
      <c r="U24" s="78" t="s">
        <v>98</v>
      </c>
      <c r="W24" s="29">
        <v>231</v>
      </c>
    </row>
    <row r="25" spans="1:55" ht="15.75" x14ac:dyDescent="0.25">
      <c r="A25" s="28" t="s">
        <v>66</v>
      </c>
      <c r="B25" s="28"/>
      <c r="C25" s="28"/>
      <c r="I25" s="31" t="s">
        <v>67</v>
      </c>
      <c r="J25" s="31">
        <f>ROUND(J22/44*40,0)</f>
        <v>359</v>
      </c>
      <c r="K25" s="90"/>
      <c r="L25" s="72"/>
      <c r="M25" s="72"/>
      <c r="N25" s="72"/>
      <c r="O25" s="44"/>
      <c r="P25" s="76" t="s">
        <v>93</v>
      </c>
      <c r="Q25" s="44"/>
      <c r="R25" s="51"/>
      <c r="S25" s="44"/>
      <c r="T25" s="90"/>
      <c r="U25" s="78"/>
    </row>
    <row r="26" spans="1:55" ht="15.75" x14ac:dyDescent="0.25">
      <c r="K26" s="90"/>
      <c r="L26" s="44"/>
      <c r="M26" s="44"/>
      <c r="N26" s="44"/>
      <c r="O26" s="44"/>
      <c r="P26" s="76" t="s">
        <v>94</v>
      </c>
      <c r="Q26" s="44"/>
      <c r="R26" s="44"/>
      <c r="S26" s="44"/>
      <c r="T26" s="90"/>
      <c r="U26" s="78"/>
    </row>
    <row r="27" spans="1:55" x14ac:dyDescent="0.2">
      <c r="A27" t="s">
        <v>68</v>
      </c>
      <c r="D27" s="32" t="s">
        <v>69</v>
      </c>
      <c r="K27" s="90"/>
      <c r="L27" s="44"/>
      <c r="M27" s="44"/>
      <c r="N27" s="44"/>
      <c r="O27" s="44"/>
      <c r="P27" s="76" t="s">
        <v>95</v>
      </c>
      <c r="Q27" s="44"/>
      <c r="R27" s="44"/>
      <c r="S27" s="44"/>
      <c r="T27" s="90"/>
      <c r="U27" s="80" t="s">
        <v>101</v>
      </c>
      <c r="Y27" s="81">
        <v>1</v>
      </c>
      <c r="Z27" s="81">
        <v>1.1000000000000001</v>
      </c>
      <c r="AA27" s="81">
        <v>1.2000000000000002</v>
      </c>
      <c r="AB27" s="81">
        <v>1.3000000000000003</v>
      </c>
      <c r="AC27" s="81">
        <v>1.4000000000000004</v>
      </c>
      <c r="AD27" s="81">
        <v>1.5000000000000004</v>
      </c>
      <c r="AE27" s="81">
        <v>1.6000000000000005</v>
      </c>
      <c r="AF27" s="81">
        <v>1.7000000000000006</v>
      </c>
      <c r="AG27" s="81">
        <v>1.8000000000000007</v>
      </c>
      <c r="AH27" s="81">
        <v>1.9000000000000008</v>
      </c>
      <c r="AI27" s="81">
        <v>2.0000000000000009</v>
      </c>
      <c r="AJ27" s="81">
        <v>2.100000000000001</v>
      </c>
      <c r="AK27" s="81">
        <v>2.2000000000000011</v>
      </c>
      <c r="AL27" s="81">
        <v>2.3000000000000012</v>
      </c>
      <c r="AM27" s="81">
        <v>2.4000000000000012</v>
      </c>
      <c r="AN27" s="81">
        <v>2.5000000000000013</v>
      </c>
      <c r="AO27" s="81">
        <v>2.6000000000000014</v>
      </c>
      <c r="AP27" s="81">
        <v>2.7000000000000015</v>
      </c>
      <c r="AQ27" s="81">
        <v>2.8000000000000016</v>
      </c>
      <c r="AR27" s="81">
        <v>2.9000000000000017</v>
      </c>
      <c r="AS27" s="81">
        <v>3.0000000000000018</v>
      </c>
      <c r="AT27" s="81">
        <v>3.1000000000000019</v>
      </c>
      <c r="AU27" s="81">
        <v>3.200000000000002</v>
      </c>
      <c r="AV27" s="81">
        <v>3.300000000000002</v>
      </c>
      <c r="AW27" s="81">
        <v>3.4000000000000021</v>
      </c>
      <c r="AX27" s="81">
        <v>3.5000000000000022</v>
      </c>
      <c r="AY27" s="81">
        <v>3.6000000000000023</v>
      </c>
      <c r="AZ27" s="81">
        <v>3.7000000000000024</v>
      </c>
      <c r="BA27" s="81">
        <v>3.8000000000000025</v>
      </c>
      <c r="BB27" s="81">
        <v>3.9000000000000026</v>
      </c>
      <c r="BC27" s="81">
        <v>4.0000000000000027</v>
      </c>
    </row>
    <row r="28" spans="1:55" x14ac:dyDescent="0.2">
      <c r="D28" s="33" t="s">
        <v>70</v>
      </c>
      <c r="K28" s="90"/>
      <c r="L28" s="44"/>
      <c r="M28" s="44"/>
      <c r="N28" s="44"/>
      <c r="O28" s="44"/>
      <c r="P28" s="44"/>
      <c r="Q28" s="44"/>
      <c r="R28" s="44"/>
      <c r="S28" s="44"/>
      <c r="T28" s="90"/>
      <c r="U28" s="3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</row>
    <row r="29" spans="1:55" ht="15.75" x14ac:dyDescent="0.25">
      <c r="K29" s="90"/>
      <c r="L29" s="22" t="s">
        <v>71</v>
      </c>
      <c r="O29" s="34" t="str">
        <f>IF(S19&lt;100,"Achtung: Punktsumme muss mind. 100 Punkte betragen!!","")</f>
        <v/>
      </c>
      <c r="P29" s="35"/>
      <c r="Q29" s="35"/>
      <c r="R29" s="35"/>
      <c r="S29" s="36"/>
      <c r="T29" s="90"/>
      <c r="U29" s="79" t="s">
        <v>100</v>
      </c>
      <c r="W29" s="84">
        <f>W22+W24</f>
        <v>581</v>
      </c>
      <c r="Y29" s="83" t="str">
        <f>IF(AND(823&lt;=$W29,$W29&lt;=900),Y27,"")</f>
        <v/>
      </c>
      <c r="Z29" s="83" t="str">
        <f>IF(AND(805&lt;=$W29,$W29&lt;=822),Z27,"")</f>
        <v/>
      </c>
      <c r="AA29" s="83" t="str">
        <f>IF(AND(787&lt;=$W29,$W29&lt;=804),AA27,"")</f>
        <v/>
      </c>
      <c r="AB29" s="83" t="str">
        <f>IF(AND(769&lt;=$W29,$W29&lt;=786),AB27,"")</f>
        <v/>
      </c>
      <c r="AC29" s="83" t="str">
        <f>IF(AND(751&lt;=$W29,$W29&lt;=768),AC27,"")</f>
        <v/>
      </c>
      <c r="AD29" s="83" t="str">
        <f>IF(AND(733&lt;=$W29,$W29&lt;=750),AD27,"")</f>
        <v/>
      </c>
      <c r="AE29" s="83" t="str">
        <f>IF(AND(715&lt;=$W29,$W29&lt;=732),AE27,"")</f>
        <v/>
      </c>
      <c r="AF29" s="83" t="str">
        <f>IF(AND(697&lt;=$W29,$W29&lt;=714),AF27,"")</f>
        <v/>
      </c>
      <c r="AG29" s="83" t="str">
        <f>IF(AND(679&lt;=$W29,$W29&lt;=696),AG27,"")</f>
        <v/>
      </c>
      <c r="AH29" s="83" t="str">
        <f>IF(AND(661&lt;=$W29,$W29&lt;=678),AH27,"")</f>
        <v/>
      </c>
      <c r="AI29" s="83" t="str">
        <f>IF(AND(643&lt;=$W29,$W29&lt;=660),AI27,"")</f>
        <v/>
      </c>
      <c r="AJ29" s="83" t="str">
        <f>IF(AND(625&lt;=$W29,$W29&lt;=642),AJ27,"")</f>
        <v/>
      </c>
      <c r="AK29" s="83" t="str">
        <f>IF(AND(607&lt;=$W29,$W29&lt;=624),AK27,"")</f>
        <v/>
      </c>
      <c r="AL29" s="83" t="str">
        <f>IF(AND(589&lt;=$W29,$W29&lt;=606),AL27,"")</f>
        <v/>
      </c>
      <c r="AM29" s="83">
        <f>IF(AND(571&lt;=$W29,$W29&lt;=588),AM27,"")</f>
        <v>2.4000000000000012</v>
      </c>
      <c r="AN29" s="83" t="str">
        <f>IF(AND(553&lt;=$W29,$W29&lt;=570),AN27,"")</f>
        <v/>
      </c>
      <c r="AO29" s="83" t="str">
        <f>IF(AND(535&lt;=$W29,$W29&lt;=552),AO27,"")</f>
        <v/>
      </c>
      <c r="AP29" s="83" t="str">
        <f>IF(AND(517&lt;=$W29,$W29&lt;=534),AP27,"")</f>
        <v/>
      </c>
      <c r="AQ29" s="83" t="str">
        <f>IF(AND(499&lt;=$W29,$W29&lt;=516),AQ27,"")</f>
        <v/>
      </c>
      <c r="AR29" s="83" t="str">
        <f>IF(AND(481&lt;=$W29,$W29&lt;=498),AR27,"")</f>
        <v/>
      </c>
      <c r="AS29" s="83" t="str">
        <f>IF(AND(463&lt;=$W29,$W29&lt;=480),AS27,"")</f>
        <v/>
      </c>
      <c r="AT29" s="83" t="str">
        <f>IF(AND(445&lt;=$W29,$W29&lt;=462),AT27,"")</f>
        <v/>
      </c>
      <c r="AU29" s="83" t="str">
        <f>IF(AND(427&lt;=$W29,$W29&lt;=440),AU27,"")</f>
        <v/>
      </c>
      <c r="AV29" s="83" t="str">
        <f>IF(AND(409&lt;=$W29,$W29&lt;=426),AV27,"")</f>
        <v/>
      </c>
      <c r="AW29" s="83" t="str">
        <f>IF(AND(391&lt;=$W29,$W29&lt;=408),AW27,"")</f>
        <v/>
      </c>
      <c r="AX29" s="83" t="str">
        <f>IF(AND(373&lt;=$W29,$W29&lt;=390),AX27,"")</f>
        <v/>
      </c>
      <c r="AY29" s="83" t="str">
        <f>IF(AND(355&lt;=$W29,$W29&lt;=372),AY27,"")</f>
        <v/>
      </c>
      <c r="AZ29" s="83" t="str">
        <f>IF(AND(337&lt;=$W29,$W29&lt;=354),AZ27,"")</f>
        <v/>
      </c>
      <c r="BA29" s="83" t="str">
        <f>IF(AND(319&lt;=$W29,$W29&lt;=336),BA27,"")</f>
        <v/>
      </c>
      <c r="BB29" s="83" t="str">
        <f>IF(AND(301&lt;=$W29,$W29&lt;=318),BB27,"")</f>
        <v/>
      </c>
      <c r="BC29" s="83" t="str">
        <f>IF(AND(300&lt;=$W29,$W29&lt;=300),BC27,"")</f>
        <v/>
      </c>
    </row>
    <row r="30" spans="1:55" x14ac:dyDescent="0.2">
      <c r="A30" s="22" t="s">
        <v>71</v>
      </c>
      <c r="D30" s="34" t="str">
        <f>IF(J25&lt;200,"Achtung: EI muss mind. 200 Punkte betragen!!","")</f>
        <v/>
      </c>
      <c r="E30" s="35"/>
      <c r="F30" s="35"/>
      <c r="G30" s="35"/>
      <c r="H30" s="35"/>
      <c r="I30" s="35"/>
      <c r="J30" s="36"/>
      <c r="K30" s="90"/>
      <c r="O30" s="121" t="str">
        <f>IF(AND(P14="",P16=""),IF(IF(S10&lt;25,1,0)+IF(S11&lt;25,1,0)+IF(S12&lt;25,1,0)+IF(S13&lt;25,1,0)&gt;2,"Achtung: Bei 4 Pfern in mind. 2 Fächern mind. 05 (bzw. fünffach: 25) Punkte!!",""),"")</f>
        <v/>
      </c>
      <c r="P30" s="38"/>
      <c r="Q30" s="38"/>
      <c r="R30" s="38"/>
      <c r="S30" s="39"/>
      <c r="T30" s="90"/>
      <c r="Y30" s="85">
        <v>900</v>
      </c>
      <c r="Z30" s="85">
        <f>Y30-78</f>
        <v>822</v>
      </c>
      <c r="AA30" s="85">
        <f>Z30-18</f>
        <v>804</v>
      </c>
      <c r="AB30" s="85">
        <f t="shared" ref="AB30:BC30" si="5">AA30-18</f>
        <v>786</v>
      </c>
      <c r="AC30" s="85">
        <f t="shared" si="5"/>
        <v>768</v>
      </c>
      <c r="AD30" s="85">
        <f t="shared" si="5"/>
        <v>750</v>
      </c>
      <c r="AE30" s="85">
        <f t="shared" si="5"/>
        <v>732</v>
      </c>
      <c r="AF30" s="85">
        <f t="shared" si="5"/>
        <v>714</v>
      </c>
      <c r="AG30" s="85">
        <f t="shared" si="5"/>
        <v>696</v>
      </c>
      <c r="AH30" s="85">
        <f t="shared" si="5"/>
        <v>678</v>
      </c>
      <c r="AI30" s="85">
        <f t="shared" si="5"/>
        <v>660</v>
      </c>
      <c r="AJ30" s="85">
        <f t="shared" si="5"/>
        <v>642</v>
      </c>
      <c r="AK30" s="85">
        <f t="shared" si="5"/>
        <v>624</v>
      </c>
      <c r="AL30" s="85">
        <f t="shared" si="5"/>
        <v>606</v>
      </c>
      <c r="AM30" s="85">
        <f t="shared" si="5"/>
        <v>588</v>
      </c>
      <c r="AN30" s="85">
        <f t="shared" si="5"/>
        <v>570</v>
      </c>
      <c r="AO30" s="85">
        <f t="shared" si="5"/>
        <v>552</v>
      </c>
      <c r="AP30" s="85">
        <f t="shared" si="5"/>
        <v>534</v>
      </c>
      <c r="AQ30" s="85">
        <f t="shared" si="5"/>
        <v>516</v>
      </c>
      <c r="AR30" s="85">
        <f t="shared" si="5"/>
        <v>498</v>
      </c>
      <c r="AS30" s="85">
        <f t="shared" si="5"/>
        <v>480</v>
      </c>
      <c r="AT30" s="85">
        <f t="shared" si="5"/>
        <v>462</v>
      </c>
      <c r="AU30" s="85">
        <f t="shared" si="5"/>
        <v>444</v>
      </c>
      <c r="AV30" s="85">
        <f t="shared" si="5"/>
        <v>426</v>
      </c>
      <c r="AW30" s="85">
        <f t="shared" si="5"/>
        <v>408</v>
      </c>
      <c r="AX30" s="85">
        <f t="shared" si="5"/>
        <v>390</v>
      </c>
      <c r="AY30" s="85">
        <f t="shared" si="5"/>
        <v>372</v>
      </c>
      <c r="AZ30" s="85">
        <f t="shared" si="5"/>
        <v>354</v>
      </c>
      <c r="BA30" s="85">
        <f t="shared" si="5"/>
        <v>336</v>
      </c>
      <c r="BB30" s="85">
        <f t="shared" si="5"/>
        <v>318</v>
      </c>
      <c r="BC30" s="85">
        <f t="shared" si="5"/>
        <v>300</v>
      </c>
    </row>
    <row r="31" spans="1:55" ht="15.75" x14ac:dyDescent="0.25">
      <c r="D31" s="37" t="str">
        <f>IF(COUNTIF(D9:G20,0)&gt;0,"Achtung: Kein Kurs mit 00 Punkten erlaubt!!","")</f>
        <v/>
      </c>
      <c r="E31" s="38"/>
      <c r="F31" s="38"/>
      <c r="G31" s="38"/>
      <c r="H31" s="38"/>
      <c r="I31" s="38"/>
      <c r="J31" s="39"/>
      <c r="K31" s="90"/>
      <c r="O31" s="122" t="str">
        <f>IF(OR(P14&lt;&gt;"",P16&lt;&gt;""),IF(IF(S10&lt;20,1,0)+IF(S11&lt;20,1,0)+IF(S12&lt;20,1,0)+IF(S13&lt;20,1,0)+IF(S14&lt;20,1,0)+IF(S16&lt;20,1,0)&gt;3,"Achtung: Bei 5 Pfern in mind. 3 Fächern mind. 05 (bzw. vierfach: 20) Punkte!!",""),"")</f>
        <v/>
      </c>
      <c r="P31" s="41"/>
      <c r="Q31" s="41"/>
      <c r="R31" s="41"/>
      <c r="S31" s="42"/>
      <c r="T31" s="90"/>
      <c r="U31" s="79" t="s">
        <v>99</v>
      </c>
      <c r="W31" s="113">
        <f>IF(SUM(Y29:BC29)&lt;&gt;0,SUM(Y29:BC29),"")</f>
        <v>2.4000000000000012</v>
      </c>
      <c r="Y31" s="83" t="str">
        <f>IF(AND(Z30+1&lt;=$W29,$W29&lt;=Y30),Y27,"")</f>
        <v/>
      </c>
      <c r="Z31" s="83" t="str">
        <f t="shared" ref="Z31:BC31" si="6">IF(AND(AA30+1&lt;=$W29,$W29&lt;=Z30),Z27,"")</f>
        <v/>
      </c>
      <c r="AA31" s="83" t="str">
        <f t="shared" si="6"/>
        <v/>
      </c>
      <c r="AB31" s="83" t="str">
        <f t="shared" si="6"/>
        <v/>
      </c>
      <c r="AC31" s="83" t="str">
        <f t="shared" si="6"/>
        <v/>
      </c>
      <c r="AD31" s="83" t="str">
        <f t="shared" si="6"/>
        <v/>
      </c>
      <c r="AE31" s="83" t="str">
        <f t="shared" si="6"/>
        <v/>
      </c>
      <c r="AF31" s="83" t="str">
        <f t="shared" si="6"/>
        <v/>
      </c>
      <c r="AG31" s="83" t="str">
        <f t="shared" si="6"/>
        <v/>
      </c>
      <c r="AH31" s="83" t="str">
        <f t="shared" si="6"/>
        <v/>
      </c>
      <c r="AI31" s="83" t="str">
        <f t="shared" si="6"/>
        <v/>
      </c>
      <c r="AJ31" s="83" t="str">
        <f t="shared" si="6"/>
        <v/>
      </c>
      <c r="AK31" s="83" t="str">
        <f t="shared" si="6"/>
        <v/>
      </c>
      <c r="AL31" s="83" t="str">
        <f t="shared" si="6"/>
        <v/>
      </c>
      <c r="AM31" s="83">
        <f t="shared" si="6"/>
        <v>2.4000000000000012</v>
      </c>
      <c r="AN31" s="83" t="str">
        <f t="shared" si="6"/>
        <v/>
      </c>
      <c r="AO31" s="83" t="str">
        <f t="shared" si="6"/>
        <v/>
      </c>
      <c r="AP31" s="83" t="str">
        <f t="shared" si="6"/>
        <v/>
      </c>
      <c r="AQ31" s="83" t="str">
        <f t="shared" si="6"/>
        <v/>
      </c>
      <c r="AR31" s="83" t="str">
        <f t="shared" si="6"/>
        <v/>
      </c>
      <c r="AS31" s="83" t="str">
        <f t="shared" si="6"/>
        <v/>
      </c>
      <c r="AT31" s="83" t="str">
        <f t="shared" si="6"/>
        <v/>
      </c>
      <c r="AU31" s="83" t="str">
        <f t="shared" si="6"/>
        <v/>
      </c>
      <c r="AV31" s="83" t="str">
        <f t="shared" si="6"/>
        <v/>
      </c>
      <c r="AW31" s="83" t="str">
        <f t="shared" si="6"/>
        <v/>
      </c>
      <c r="AX31" s="83" t="str">
        <f t="shared" si="6"/>
        <v/>
      </c>
      <c r="AY31" s="83" t="str">
        <f t="shared" si="6"/>
        <v/>
      </c>
      <c r="AZ31" s="83" t="str">
        <f t="shared" si="6"/>
        <v/>
      </c>
      <c r="BA31" s="83" t="str">
        <f t="shared" si="6"/>
        <v/>
      </c>
      <c r="BB31" s="83" t="str">
        <f t="shared" si="6"/>
        <v/>
      </c>
      <c r="BC31" s="83" t="str">
        <f t="shared" si="6"/>
        <v/>
      </c>
    </row>
    <row r="32" spans="1:55" x14ac:dyDescent="0.2">
      <c r="D32" s="40" t="str">
        <f>IF((COUNTIF(D9:G20,0)+COUNTIF(D9:G20,1)+COUNTIF(D9:G20,2)+COUNTIF(D9:G20,3)+COUNTIF(D9:G20,4))&gt;7,"Achtung: Hö. 7 Kurse mit weniger als 05 Punkten erlaubt!!","")</f>
        <v/>
      </c>
      <c r="E32" s="41"/>
      <c r="F32" s="41"/>
      <c r="G32" s="41"/>
      <c r="H32" s="41"/>
      <c r="I32" s="41"/>
      <c r="J32" s="42"/>
      <c r="K32" s="90"/>
      <c r="T32" s="90"/>
    </row>
  </sheetData>
  <mergeCells count="2">
    <mergeCell ref="D7:G7"/>
    <mergeCell ref="O7:P7"/>
  </mergeCells>
  <conditionalFormatting sqref="Q10:Q14">
    <cfRule type="expression" dxfId="4" priority="3" stopIfTrue="1">
      <formula>AND($P$14="",$P$16="")</formula>
    </cfRule>
  </conditionalFormatting>
  <conditionalFormatting sqref="R10:R16">
    <cfRule type="expression" dxfId="3" priority="2" stopIfTrue="1">
      <formula>OR($P$14&lt;&gt;"",$P$16&lt;&gt;"")</formula>
    </cfRule>
  </conditionalFormatting>
  <conditionalFormatting sqref="H21">
    <cfRule type="expression" dxfId="2" priority="1">
      <formula>H21&lt;&gt;""</formula>
    </cfRule>
  </conditionalFormatting>
  <printOptions gridLines="1"/>
  <pageMargins left="0.39370078740157483" right="0.19685039370078741" top="0.98425196850393704" bottom="0.59055118110236227" header="0.51181102362204722" footer="0.51181102362204722"/>
  <pageSetup paperSize="9" scale="60" orientation="landscape" horizontalDpi="300" verticalDpi="300" r:id="rId1"/>
  <headerFooter alignWithMargins="0">
    <oddHeader>&amp;C&amp;F - &amp;D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 sizeWithCells="1">
              <from>
                <xdr:col>7</xdr:col>
                <xdr:colOff>114300</xdr:colOff>
                <xdr:row>23</xdr:row>
                <xdr:rowOff>57150</xdr:rowOff>
              </from>
              <to>
                <xdr:col>7</xdr:col>
                <xdr:colOff>904875</xdr:colOff>
                <xdr:row>25</xdr:row>
                <xdr:rowOff>123825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32"/>
  <sheetViews>
    <sheetView tabSelected="1" topLeftCell="A7" zoomScale="90" zoomScaleNormal="90" workbookViewId="0">
      <selection activeCell="H10" sqref="H10"/>
    </sheetView>
  </sheetViews>
  <sheetFormatPr baseColWidth="10" defaultRowHeight="12.75" x14ac:dyDescent="0.2"/>
  <cols>
    <col min="1" max="1" width="10.42578125" customWidth="1"/>
    <col min="2" max="3" width="6.7109375" customWidth="1"/>
    <col min="4" max="5" width="8.28515625" customWidth="1"/>
    <col min="6" max="6" width="21.85546875" bestFit="1" customWidth="1"/>
    <col min="7" max="7" width="23.28515625" bestFit="1" customWidth="1"/>
    <col min="8" max="8" width="8.140625" customWidth="1"/>
    <col min="9" max="9" width="2" customWidth="1"/>
    <col min="11" max="11" width="16" customWidth="1"/>
    <col min="14" max="44" width="4" bestFit="1" customWidth="1"/>
  </cols>
  <sheetData>
    <row r="1" spans="1:44" ht="15.75" x14ac:dyDescent="0.25">
      <c r="A1" s="91" t="s">
        <v>109</v>
      </c>
      <c r="B1" s="92"/>
      <c r="C1" s="92"/>
      <c r="D1" s="92"/>
      <c r="E1" s="92"/>
      <c r="F1" s="92"/>
      <c r="G1" s="92"/>
      <c r="H1" s="93"/>
    </row>
    <row r="3" spans="1:44" ht="15.75" x14ac:dyDescent="0.25">
      <c r="A3" s="43" t="s">
        <v>73</v>
      </c>
      <c r="B3" s="43"/>
      <c r="C3" s="43"/>
      <c r="D3" s="44"/>
      <c r="E3" s="44"/>
      <c r="F3" s="44"/>
      <c r="G3" s="44"/>
      <c r="H3" s="44"/>
      <c r="I3" s="90"/>
      <c r="J3" s="43" t="s">
        <v>96</v>
      </c>
    </row>
    <row r="4" spans="1:44" ht="12.75" customHeight="1" x14ac:dyDescent="0.25">
      <c r="A4" s="43"/>
      <c r="B4" s="43"/>
      <c r="C4" s="43"/>
      <c r="D4" s="44"/>
      <c r="E4" s="44"/>
      <c r="F4" s="44"/>
      <c r="G4" s="44"/>
      <c r="H4" s="44"/>
      <c r="I4" s="90"/>
      <c r="J4" s="87" t="s">
        <v>107</v>
      </c>
    </row>
    <row r="5" spans="1:44" x14ac:dyDescent="0.2">
      <c r="A5" s="45" t="s">
        <v>1</v>
      </c>
      <c r="B5" s="45"/>
      <c r="C5" s="46">
        <v>3</v>
      </c>
      <c r="D5" s="47" t="s">
        <v>2</v>
      </c>
      <c r="E5" s="44"/>
      <c r="F5" s="44"/>
      <c r="G5" s="2" t="s">
        <v>105</v>
      </c>
      <c r="H5" s="44"/>
      <c r="I5" s="90"/>
    </row>
    <row r="6" spans="1:44" ht="7.5" customHeight="1" x14ac:dyDescent="0.2">
      <c r="A6" s="48"/>
      <c r="B6" s="48"/>
      <c r="C6" s="49"/>
      <c r="D6" s="44"/>
      <c r="E6" s="44"/>
      <c r="F6" s="44"/>
      <c r="G6" s="44"/>
      <c r="H6" s="44"/>
      <c r="I6" s="90"/>
    </row>
    <row r="7" spans="1:44" ht="15.75" x14ac:dyDescent="0.25">
      <c r="A7" s="44"/>
      <c r="B7" s="44"/>
      <c r="C7" s="44"/>
      <c r="D7" s="125" t="s">
        <v>74</v>
      </c>
      <c r="E7" s="126"/>
      <c r="F7" s="44"/>
      <c r="G7" s="50"/>
      <c r="H7" s="44"/>
      <c r="I7" s="90"/>
      <c r="J7" s="78" t="s">
        <v>97</v>
      </c>
      <c r="L7" s="29">
        <v>359</v>
      </c>
    </row>
    <row r="8" spans="1:44" ht="15.75" x14ac:dyDescent="0.25">
      <c r="A8" s="48" t="s">
        <v>3</v>
      </c>
      <c r="B8" s="49" t="s">
        <v>4</v>
      </c>
      <c r="C8" s="49" t="s">
        <v>5</v>
      </c>
      <c r="D8" s="52" t="s">
        <v>75</v>
      </c>
      <c r="E8" s="44"/>
      <c r="F8" s="53" t="s">
        <v>76</v>
      </c>
      <c r="G8" s="53" t="s">
        <v>77</v>
      </c>
      <c r="H8" s="51" t="s">
        <v>9</v>
      </c>
      <c r="I8" s="90"/>
      <c r="J8" s="78"/>
    </row>
    <row r="9" spans="1:44" ht="15.75" x14ac:dyDescent="0.25">
      <c r="A9" s="44"/>
      <c r="B9" s="44"/>
      <c r="C9" s="44"/>
      <c r="D9" s="54" t="s">
        <v>78</v>
      </c>
      <c r="E9" s="54" t="s">
        <v>79</v>
      </c>
      <c r="F9" s="44"/>
      <c r="G9" s="44"/>
      <c r="H9" s="50"/>
      <c r="I9" s="90"/>
      <c r="J9" s="78" t="s">
        <v>98</v>
      </c>
      <c r="L9" s="29">
        <f>H19</f>
        <v>121</v>
      </c>
    </row>
    <row r="10" spans="1:44" ht="15.75" x14ac:dyDescent="0.25">
      <c r="A10" s="48" t="s">
        <v>17</v>
      </c>
      <c r="B10" s="49" t="s">
        <v>18</v>
      </c>
      <c r="C10" s="49" t="s">
        <v>19</v>
      </c>
      <c r="D10" s="12">
        <v>3</v>
      </c>
      <c r="E10" s="25"/>
      <c r="F10" s="56">
        <v>5</v>
      </c>
      <c r="G10" s="57">
        <v>4</v>
      </c>
      <c r="H10" s="58">
        <f>ROUND(IF(AND($E$14="",$E$16=""),F10,G10)*IF(E10&lt;&gt;"",(D10*2+E10)/3,D10),0)</f>
        <v>12</v>
      </c>
      <c r="I10" s="90"/>
      <c r="J10" s="78"/>
    </row>
    <row r="11" spans="1:44" x14ac:dyDescent="0.2">
      <c r="A11" s="48" t="s">
        <v>21</v>
      </c>
      <c r="B11" s="49" t="s">
        <v>22</v>
      </c>
      <c r="C11" s="49" t="s">
        <v>23</v>
      </c>
      <c r="D11" s="12">
        <v>12</v>
      </c>
      <c r="E11" s="25"/>
      <c r="F11" s="56">
        <v>5</v>
      </c>
      <c r="G11" s="57">
        <v>4</v>
      </c>
      <c r="H11" s="58">
        <f t="shared" ref="H11:H12" si="0">ROUND(IF(AND($E$14="",$E$16=""),F11,G11)*IF(E11&lt;&gt;"",(D11*2+E11)/3,D11),0)</f>
        <v>48</v>
      </c>
      <c r="I11" s="90"/>
      <c r="J11" s="80" t="s">
        <v>101</v>
      </c>
      <c r="N11" s="81">
        <v>1</v>
      </c>
      <c r="O11" s="81">
        <v>1.1000000000000001</v>
      </c>
      <c r="P11" s="81">
        <v>1.2000000000000002</v>
      </c>
      <c r="Q11" s="81">
        <v>1.3000000000000003</v>
      </c>
      <c r="R11" s="81">
        <v>1.4000000000000004</v>
      </c>
      <c r="S11" s="81">
        <v>1.5000000000000004</v>
      </c>
      <c r="T11" s="81">
        <v>1.6000000000000005</v>
      </c>
      <c r="U11" s="81">
        <v>1.7000000000000006</v>
      </c>
      <c r="V11" s="81">
        <v>1.8000000000000007</v>
      </c>
      <c r="W11" s="81">
        <v>1.9000000000000008</v>
      </c>
      <c r="X11" s="81">
        <v>2.0000000000000009</v>
      </c>
      <c r="Y11" s="81">
        <v>2.100000000000001</v>
      </c>
      <c r="Z11" s="81">
        <v>2.2000000000000011</v>
      </c>
      <c r="AA11" s="81">
        <v>2.3000000000000012</v>
      </c>
      <c r="AB11" s="81">
        <v>2.4000000000000012</v>
      </c>
      <c r="AC11" s="81">
        <v>2.5000000000000013</v>
      </c>
      <c r="AD11" s="81">
        <v>2.6000000000000014</v>
      </c>
      <c r="AE11" s="81">
        <v>2.7000000000000015</v>
      </c>
      <c r="AF11" s="81">
        <v>2.8000000000000016</v>
      </c>
      <c r="AG11" s="81">
        <v>2.9000000000000017</v>
      </c>
      <c r="AH11" s="81">
        <v>3.0000000000000018</v>
      </c>
      <c r="AI11" s="81">
        <v>3.1000000000000019</v>
      </c>
      <c r="AJ11" s="81">
        <v>3.200000000000002</v>
      </c>
      <c r="AK11" s="81">
        <v>3.300000000000002</v>
      </c>
      <c r="AL11" s="81">
        <v>3.4000000000000021</v>
      </c>
      <c r="AM11" s="81">
        <v>3.5000000000000022</v>
      </c>
      <c r="AN11" s="81">
        <v>3.6000000000000023</v>
      </c>
      <c r="AO11" s="81">
        <v>3.7000000000000024</v>
      </c>
      <c r="AP11" s="81">
        <v>3.8000000000000025</v>
      </c>
      <c r="AQ11" s="81">
        <v>3.9000000000000026</v>
      </c>
      <c r="AR11" s="81">
        <v>4.0000000000000027</v>
      </c>
    </row>
    <row r="12" spans="1:44" x14ac:dyDescent="0.2">
      <c r="A12" s="48" t="s">
        <v>25</v>
      </c>
      <c r="B12" s="49" t="s">
        <v>26</v>
      </c>
      <c r="C12" s="49" t="s">
        <v>27</v>
      </c>
      <c r="D12" s="12">
        <v>3</v>
      </c>
      <c r="E12" s="19">
        <v>10</v>
      </c>
      <c r="F12" s="56">
        <v>5</v>
      </c>
      <c r="G12" s="57">
        <v>4</v>
      </c>
      <c r="H12" s="58">
        <f t="shared" si="0"/>
        <v>21</v>
      </c>
      <c r="I12" s="90"/>
      <c r="J12" s="3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</row>
    <row r="13" spans="1:44" ht="15.75" x14ac:dyDescent="0.25">
      <c r="A13" s="48" t="s">
        <v>32</v>
      </c>
      <c r="B13" s="49" t="s">
        <v>30</v>
      </c>
      <c r="C13" s="49" t="s">
        <v>31</v>
      </c>
      <c r="D13" s="88"/>
      <c r="E13" s="12">
        <v>2</v>
      </c>
      <c r="F13" s="56">
        <v>5</v>
      </c>
      <c r="G13" s="57">
        <v>4</v>
      </c>
      <c r="H13" s="58">
        <f>IF(AND($E$14="",$E$16=""),F13,IF(AND(B16=B13,E16&gt;E13),0,G13))*E13</f>
        <v>8</v>
      </c>
      <c r="I13" s="90"/>
      <c r="J13" s="79" t="s">
        <v>100</v>
      </c>
      <c r="L13" s="84">
        <f>L7+L9</f>
        <v>480</v>
      </c>
      <c r="N13" s="83" t="str">
        <f>IF(AND(823&lt;=$L13,$L13&lt;=900),N11,"")</f>
        <v/>
      </c>
      <c r="O13" s="83" t="str">
        <f>IF(AND(805&lt;=$L13,$L13&lt;=822),O11,"")</f>
        <v/>
      </c>
      <c r="P13" s="83" t="str">
        <f>IF(AND(787&lt;=$L13,$L13&lt;=804),P11,"")</f>
        <v/>
      </c>
      <c r="Q13" s="83" t="str">
        <f>IF(AND(769&lt;=$L13,$L13&lt;=786),Q11,"")</f>
        <v/>
      </c>
      <c r="R13" s="83" t="str">
        <f>IF(AND(751&lt;=$L13,$L13&lt;=768),R11,"")</f>
        <v/>
      </c>
      <c r="S13" s="83" t="str">
        <f>IF(AND(733&lt;=$L13,$L13&lt;=750),S11,"")</f>
        <v/>
      </c>
      <c r="T13" s="83" t="str">
        <f>IF(AND(715&lt;=$L13,$L13&lt;=732),T11,"")</f>
        <v/>
      </c>
      <c r="U13" s="83" t="str">
        <f>IF(AND(697&lt;=$L13,$L13&lt;=714),U11,"")</f>
        <v/>
      </c>
      <c r="V13" s="83" t="str">
        <f>IF(AND(679&lt;=$L13,$L13&lt;=696),V11,"")</f>
        <v/>
      </c>
      <c r="W13" s="83" t="str">
        <f>IF(AND(661&lt;=$L13,$L13&lt;=678),W11,"")</f>
        <v/>
      </c>
      <c r="X13" s="83" t="str">
        <f>IF(AND(643&lt;=$L13,$L13&lt;=660),X11,"")</f>
        <v/>
      </c>
      <c r="Y13" s="83" t="str">
        <f>IF(AND(625&lt;=$L13,$L13&lt;=642),Y11,"")</f>
        <v/>
      </c>
      <c r="Z13" s="83" t="str">
        <f>IF(AND(607&lt;=$L13,$L13&lt;=624),Z11,"")</f>
        <v/>
      </c>
      <c r="AA13" s="83" t="str">
        <f>IF(AND(589&lt;=$L13,$L13&lt;=606),AA11,"")</f>
        <v/>
      </c>
      <c r="AB13" s="83" t="str">
        <f>IF(AND(571&lt;=$L13,$L13&lt;=588),AB11,"")</f>
        <v/>
      </c>
      <c r="AC13" s="83" t="str">
        <f>IF(AND(553&lt;=$L13,$L13&lt;=570),AC11,"")</f>
        <v/>
      </c>
      <c r="AD13" s="83" t="str">
        <f>IF(AND(535&lt;=$L13,$L13&lt;=552),AD11,"")</f>
        <v/>
      </c>
      <c r="AE13" s="83" t="str">
        <f>IF(AND(517&lt;=$L13,$L13&lt;=534),AE11,"")</f>
        <v/>
      </c>
      <c r="AF13" s="83" t="str">
        <f>IF(AND(499&lt;=$L13,$L13&lt;=516),AF11,"")</f>
        <v/>
      </c>
      <c r="AG13" s="83" t="str">
        <f>IF(AND(481&lt;=$L13,$L13&lt;=498),AG11,"")</f>
        <v/>
      </c>
      <c r="AH13" s="83">
        <f>IF(AND(463&lt;=$L13,$L13&lt;=480),AH11,"")</f>
        <v>3.0000000000000018</v>
      </c>
      <c r="AI13" s="83" t="str">
        <f>IF(AND(445&lt;=$L13,$L13&lt;=462),AI11,"")</f>
        <v/>
      </c>
      <c r="AJ13" s="83" t="str">
        <f>IF(AND(427&lt;=$L13,$L13&lt;=440),AJ11,"")</f>
        <v/>
      </c>
      <c r="AK13" s="83" t="str">
        <f>IF(AND(409&lt;=$L13,$L13&lt;=426),AK11,"")</f>
        <v/>
      </c>
      <c r="AL13" s="83" t="str">
        <f>IF(AND(391&lt;=$L13,$L13&lt;=408),AL11,"")</f>
        <v/>
      </c>
      <c r="AM13" s="83" t="str">
        <f>IF(AND(373&lt;=$L13,$L13&lt;=390),AM11,"")</f>
        <v/>
      </c>
      <c r="AN13" s="83" t="str">
        <f>IF(AND(355&lt;=$L13,$L13&lt;=372),AN11,"")</f>
        <v/>
      </c>
      <c r="AO13" s="83" t="str">
        <f>IF(AND(337&lt;=$L13,$L13&lt;=354),AO11,"")</f>
        <v/>
      </c>
      <c r="AP13" s="83" t="str">
        <f>IF(AND(319&lt;=$L13,$L13&lt;=336),AP11,"")</f>
        <v/>
      </c>
      <c r="AQ13" s="83" t="str">
        <f>IF(AND(301&lt;=$L13,$L13&lt;=318),AQ11,"")</f>
        <v/>
      </c>
      <c r="AR13" s="83" t="str">
        <f>IF(AND(300&lt;=$L13,$L13&lt;=300),AR11,"")</f>
        <v/>
      </c>
    </row>
    <row r="14" spans="1:44" x14ac:dyDescent="0.2">
      <c r="A14" s="48" t="s">
        <v>85</v>
      </c>
      <c r="B14" s="49"/>
      <c r="C14" s="49" t="s">
        <v>72</v>
      </c>
      <c r="D14" s="88"/>
      <c r="E14" s="12">
        <v>8</v>
      </c>
      <c r="F14" s="56">
        <v>5</v>
      </c>
      <c r="G14" s="57">
        <v>4</v>
      </c>
      <c r="H14" s="58">
        <f>IF($E$14="",0,IF(AND(B16=B14,E16&gt;E14),0,G14))*E14</f>
        <v>32</v>
      </c>
      <c r="I14" s="90"/>
      <c r="N14" s="85">
        <v>900</v>
      </c>
      <c r="O14" s="85">
        <f>N14-78</f>
        <v>822</v>
      </c>
      <c r="P14" s="85">
        <f>O14-18</f>
        <v>804</v>
      </c>
      <c r="Q14" s="85">
        <f t="shared" ref="Q14:AR14" si="1">P14-18</f>
        <v>786</v>
      </c>
      <c r="R14" s="85">
        <f t="shared" si="1"/>
        <v>768</v>
      </c>
      <c r="S14" s="85">
        <f t="shared" si="1"/>
        <v>750</v>
      </c>
      <c r="T14" s="85">
        <f t="shared" si="1"/>
        <v>732</v>
      </c>
      <c r="U14" s="85">
        <f t="shared" si="1"/>
        <v>714</v>
      </c>
      <c r="V14" s="85">
        <f t="shared" si="1"/>
        <v>696</v>
      </c>
      <c r="W14" s="85">
        <f t="shared" si="1"/>
        <v>678</v>
      </c>
      <c r="X14" s="85">
        <f t="shared" si="1"/>
        <v>660</v>
      </c>
      <c r="Y14" s="85">
        <f t="shared" si="1"/>
        <v>642</v>
      </c>
      <c r="Z14" s="85">
        <f t="shared" si="1"/>
        <v>624</v>
      </c>
      <c r="AA14" s="85">
        <f t="shared" si="1"/>
        <v>606</v>
      </c>
      <c r="AB14" s="85">
        <f t="shared" si="1"/>
        <v>588</v>
      </c>
      <c r="AC14" s="85">
        <f t="shared" si="1"/>
        <v>570</v>
      </c>
      <c r="AD14" s="85">
        <f t="shared" si="1"/>
        <v>552</v>
      </c>
      <c r="AE14" s="85">
        <f t="shared" si="1"/>
        <v>534</v>
      </c>
      <c r="AF14" s="85">
        <f t="shared" si="1"/>
        <v>516</v>
      </c>
      <c r="AG14" s="85">
        <f t="shared" si="1"/>
        <v>498</v>
      </c>
      <c r="AH14" s="85">
        <f t="shared" si="1"/>
        <v>480</v>
      </c>
      <c r="AI14" s="85">
        <f t="shared" si="1"/>
        <v>462</v>
      </c>
      <c r="AJ14" s="85">
        <f t="shared" si="1"/>
        <v>444</v>
      </c>
      <c r="AK14" s="85">
        <f t="shared" si="1"/>
        <v>426</v>
      </c>
      <c r="AL14" s="85">
        <f t="shared" si="1"/>
        <v>408</v>
      </c>
      <c r="AM14" s="85">
        <f t="shared" si="1"/>
        <v>390</v>
      </c>
      <c r="AN14" s="85">
        <f t="shared" si="1"/>
        <v>372</v>
      </c>
      <c r="AO14" s="85">
        <f t="shared" si="1"/>
        <v>354</v>
      </c>
      <c r="AP14" s="85">
        <f t="shared" si="1"/>
        <v>336</v>
      </c>
      <c r="AQ14" s="85">
        <f t="shared" si="1"/>
        <v>318</v>
      </c>
      <c r="AR14" s="85">
        <f t="shared" si="1"/>
        <v>300</v>
      </c>
    </row>
    <row r="15" spans="1:44" ht="15.75" x14ac:dyDescent="0.25">
      <c r="A15" s="64"/>
      <c r="B15" s="65"/>
      <c r="C15" s="65"/>
      <c r="D15" s="89"/>
      <c r="E15" s="89"/>
      <c r="F15" s="55"/>
      <c r="G15" s="57"/>
      <c r="H15" s="67"/>
      <c r="I15" s="90"/>
      <c r="J15" s="79" t="s">
        <v>99</v>
      </c>
      <c r="L15" s="113">
        <f>IF(SUM(N13:AR13)&lt;&gt;0,SUM(N13:AR13),"")</f>
        <v>3.0000000000000018</v>
      </c>
      <c r="N15" s="83" t="str">
        <f>IF(AND(O14+1&lt;=$L13,$L13&lt;=N14),N11,"")</f>
        <v/>
      </c>
      <c r="O15" s="83" t="str">
        <f t="shared" ref="O15:AR15" si="2">IF(AND(P14+1&lt;=$L13,$L13&lt;=O14),O11,"")</f>
        <v/>
      </c>
      <c r="P15" s="83" t="str">
        <f t="shared" si="2"/>
        <v/>
      </c>
      <c r="Q15" s="83" t="str">
        <f t="shared" si="2"/>
        <v/>
      </c>
      <c r="R15" s="83" t="str">
        <f t="shared" si="2"/>
        <v/>
      </c>
      <c r="S15" s="83" t="str">
        <f t="shared" si="2"/>
        <v/>
      </c>
      <c r="T15" s="83" t="str">
        <f t="shared" si="2"/>
        <v/>
      </c>
      <c r="U15" s="83" t="str">
        <f t="shared" si="2"/>
        <v/>
      </c>
      <c r="V15" s="83" t="str">
        <f t="shared" si="2"/>
        <v/>
      </c>
      <c r="W15" s="83" t="str">
        <f t="shared" si="2"/>
        <v/>
      </c>
      <c r="X15" s="83" t="str">
        <f t="shared" si="2"/>
        <v/>
      </c>
      <c r="Y15" s="83" t="str">
        <f t="shared" si="2"/>
        <v/>
      </c>
      <c r="Z15" s="83" t="str">
        <f t="shared" si="2"/>
        <v/>
      </c>
      <c r="AA15" s="83" t="str">
        <f t="shared" si="2"/>
        <v/>
      </c>
      <c r="AB15" s="83" t="str">
        <f t="shared" si="2"/>
        <v/>
      </c>
      <c r="AC15" s="83" t="str">
        <f t="shared" si="2"/>
        <v/>
      </c>
      <c r="AD15" s="83" t="str">
        <f t="shared" si="2"/>
        <v/>
      </c>
      <c r="AE15" s="83" t="str">
        <f t="shared" si="2"/>
        <v/>
      </c>
      <c r="AF15" s="83" t="str">
        <f t="shared" si="2"/>
        <v/>
      </c>
      <c r="AG15" s="83" t="str">
        <f t="shared" si="2"/>
        <v/>
      </c>
      <c r="AH15" s="83">
        <f t="shared" si="2"/>
        <v>3.0000000000000018</v>
      </c>
      <c r="AI15" s="83" t="str">
        <f t="shared" si="2"/>
        <v/>
      </c>
      <c r="AJ15" s="83" t="str">
        <f t="shared" si="2"/>
        <v/>
      </c>
      <c r="AK15" s="83" t="str">
        <f t="shared" si="2"/>
        <v/>
      </c>
      <c r="AL15" s="83" t="str">
        <f t="shared" si="2"/>
        <v/>
      </c>
      <c r="AM15" s="83" t="str">
        <f t="shared" si="2"/>
        <v/>
      </c>
      <c r="AN15" s="83" t="str">
        <f t="shared" si="2"/>
        <v/>
      </c>
      <c r="AO15" s="83" t="str">
        <f t="shared" si="2"/>
        <v/>
      </c>
      <c r="AP15" s="83" t="str">
        <f t="shared" si="2"/>
        <v/>
      </c>
      <c r="AQ15" s="83" t="str">
        <f t="shared" si="2"/>
        <v/>
      </c>
      <c r="AR15" s="83" t="str">
        <f t="shared" si="2"/>
        <v/>
      </c>
    </row>
    <row r="16" spans="1:44" x14ac:dyDescent="0.2">
      <c r="A16" s="64" t="s">
        <v>87</v>
      </c>
      <c r="B16" s="65"/>
      <c r="C16" s="65"/>
      <c r="D16" s="88"/>
      <c r="E16" s="12"/>
      <c r="F16" s="63"/>
      <c r="G16" s="57">
        <v>4</v>
      </c>
      <c r="H16" s="58">
        <f>IF(E14="",E16*G16,0)+IF(AND(E14&lt;&gt;"",AND(B16=B13,E16&gt;E13)),E16*G16,0)+IF(AND(E14&lt;&gt;"",AND(B16=B14,E16&gt;E14)),E16*G16,0)</f>
        <v>0</v>
      </c>
      <c r="I16" s="90"/>
    </row>
    <row r="17" spans="1:44" x14ac:dyDescent="0.2">
      <c r="A17" s="70" t="s">
        <v>88</v>
      </c>
      <c r="B17" s="64"/>
      <c r="C17" s="64"/>
      <c r="D17" s="66"/>
      <c r="E17" s="66"/>
      <c r="F17" s="55"/>
      <c r="G17" s="57"/>
      <c r="H17" s="67"/>
      <c r="I17" s="90"/>
      <c r="J17" s="80" t="s">
        <v>103</v>
      </c>
    </row>
    <row r="18" spans="1:44" x14ac:dyDescent="0.2">
      <c r="A18" s="64"/>
      <c r="B18" s="64"/>
      <c r="C18" s="64"/>
      <c r="D18" s="66"/>
      <c r="E18" s="66"/>
      <c r="F18" s="55"/>
      <c r="G18" s="57"/>
      <c r="H18" s="67"/>
      <c r="I18" s="90"/>
    </row>
    <row r="19" spans="1:44" ht="15.75" x14ac:dyDescent="0.25">
      <c r="A19" s="72" t="s">
        <v>89</v>
      </c>
      <c r="B19" s="72"/>
      <c r="C19" s="72"/>
      <c r="D19" s="44"/>
      <c r="E19" s="44"/>
      <c r="F19" s="73"/>
      <c r="G19" s="44"/>
      <c r="H19" s="74">
        <f>SUM(H10:H16)</f>
        <v>121</v>
      </c>
      <c r="I19" s="90"/>
      <c r="J19" s="43" t="s">
        <v>96</v>
      </c>
    </row>
    <row r="20" spans="1:44" x14ac:dyDescent="0.2">
      <c r="A20" s="64"/>
      <c r="B20" s="64"/>
      <c r="C20" s="64"/>
      <c r="D20" s="44"/>
      <c r="E20" s="44"/>
      <c r="F20" s="44"/>
      <c r="G20" s="44"/>
      <c r="H20" s="48"/>
      <c r="I20" s="90"/>
      <c r="J20" s="87" t="s">
        <v>106</v>
      </c>
    </row>
    <row r="21" spans="1:44" x14ac:dyDescent="0.2">
      <c r="A21" s="72" t="s">
        <v>90</v>
      </c>
      <c r="B21" s="72"/>
      <c r="C21" s="72"/>
      <c r="D21" s="44"/>
      <c r="E21" s="44"/>
      <c r="F21" s="44"/>
      <c r="G21" s="44"/>
      <c r="H21" s="55"/>
      <c r="I21" s="90"/>
    </row>
    <row r="22" spans="1:44" ht="15.75" x14ac:dyDescent="0.25">
      <c r="A22" s="72" t="s">
        <v>91</v>
      </c>
      <c r="B22" s="72"/>
      <c r="C22" s="72"/>
      <c r="D22" s="44"/>
      <c r="E22" s="44"/>
      <c r="F22" s="44"/>
      <c r="G22" s="44"/>
      <c r="H22" s="44"/>
      <c r="I22" s="90"/>
      <c r="J22" s="78" t="s">
        <v>97</v>
      </c>
      <c r="L22" s="29">
        <v>350</v>
      </c>
    </row>
    <row r="23" spans="1:44" ht="15.75" x14ac:dyDescent="0.25">
      <c r="A23" s="44"/>
      <c r="B23" s="44"/>
      <c r="C23" s="44"/>
      <c r="D23" s="44"/>
      <c r="E23" s="44"/>
      <c r="F23" s="44"/>
      <c r="G23" s="44"/>
      <c r="H23" s="44"/>
      <c r="I23" s="90"/>
      <c r="J23" s="78"/>
    </row>
    <row r="24" spans="1:44" ht="15.75" x14ac:dyDescent="0.25">
      <c r="A24" s="44" t="s">
        <v>68</v>
      </c>
      <c r="B24" s="44"/>
      <c r="C24" s="44"/>
      <c r="D24" s="44"/>
      <c r="E24" s="76" t="s">
        <v>92</v>
      </c>
      <c r="F24" s="44"/>
      <c r="G24" s="44"/>
      <c r="H24" s="44"/>
      <c r="I24" s="90"/>
      <c r="J24" s="78" t="s">
        <v>98</v>
      </c>
      <c r="L24" s="29">
        <v>231</v>
      </c>
    </row>
    <row r="25" spans="1:44" ht="15.75" x14ac:dyDescent="0.25">
      <c r="A25" s="72"/>
      <c r="B25" s="72"/>
      <c r="C25" s="72"/>
      <c r="D25" s="44"/>
      <c r="E25" s="76" t="s">
        <v>93</v>
      </c>
      <c r="F25" s="44"/>
      <c r="G25" s="51"/>
      <c r="H25" s="44"/>
      <c r="I25" s="90"/>
      <c r="J25" s="78"/>
    </row>
    <row r="26" spans="1:44" ht="15.75" x14ac:dyDescent="0.25">
      <c r="A26" s="44"/>
      <c r="B26" s="44"/>
      <c r="C26" s="44"/>
      <c r="D26" s="44"/>
      <c r="E26" s="76" t="s">
        <v>94</v>
      </c>
      <c r="F26" s="44"/>
      <c r="G26" s="44"/>
      <c r="H26" s="44"/>
      <c r="I26" s="90"/>
      <c r="J26" s="78"/>
    </row>
    <row r="27" spans="1:44" x14ac:dyDescent="0.2">
      <c r="A27" s="44"/>
      <c r="B27" s="44"/>
      <c r="C27" s="44"/>
      <c r="D27" s="44"/>
      <c r="E27" s="76" t="s">
        <v>95</v>
      </c>
      <c r="F27" s="44"/>
      <c r="G27" s="44"/>
      <c r="H27" s="44"/>
      <c r="I27" s="90"/>
      <c r="J27" s="80" t="s">
        <v>101</v>
      </c>
      <c r="N27" s="81">
        <v>1</v>
      </c>
      <c r="O27" s="81">
        <v>1.1000000000000001</v>
      </c>
      <c r="P27" s="81">
        <v>1.2000000000000002</v>
      </c>
      <c r="Q27" s="81">
        <v>1.3000000000000003</v>
      </c>
      <c r="R27" s="81">
        <v>1.4000000000000004</v>
      </c>
      <c r="S27" s="81">
        <v>1.5000000000000004</v>
      </c>
      <c r="T27" s="81">
        <v>1.6000000000000005</v>
      </c>
      <c r="U27" s="81">
        <v>1.7000000000000006</v>
      </c>
      <c r="V27" s="81">
        <v>1.8000000000000007</v>
      </c>
      <c r="W27" s="81">
        <v>1.9000000000000008</v>
      </c>
      <c r="X27" s="81">
        <v>2.0000000000000009</v>
      </c>
      <c r="Y27" s="81">
        <v>2.100000000000001</v>
      </c>
      <c r="Z27" s="81">
        <v>2.2000000000000011</v>
      </c>
      <c r="AA27" s="81">
        <v>2.3000000000000012</v>
      </c>
      <c r="AB27" s="81">
        <v>2.4000000000000012</v>
      </c>
      <c r="AC27" s="81">
        <v>2.5000000000000013</v>
      </c>
      <c r="AD27" s="81">
        <v>2.6000000000000014</v>
      </c>
      <c r="AE27" s="81">
        <v>2.7000000000000015</v>
      </c>
      <c r="AF27" s="81">
        <v>2.8000000000000016</v>
      </c>
      <c r="AG27" s="81">
        <v>2.9000000000000017</v>
      </c>
      <c r="AH27" s="81">
        <v>3.0000000000000018</v>
      </c>
      <c r="AI27" s="81">
        <v>3.1000000000000019</v>
      </c>
      <c r="AJ27" s="81">
        <v>3.200000000000002</v>
      </c>
      <c r="AK27" s="81">
        <v>3.300000000000002</v>
      </c>
      <c r="AL27" s="81">
        <v>3.4000000000000021</v>
      </c>
      <c r="AM27" s="81">
        <v>3.5000000000000022</v>
      </c>
      <c r="AN27" s="81">
        <v>3.6000000000000023</v>
      </c>
      <c r="AO27" s="81">
        <v>3.7000000000000024</v>
      </c>
      <c r="AP27" s="81">
        <v>3.8000000000000025</v>
      </c>
      <c r="AQ27" s="81">
        <v>3.9000000000000026</v>
      </c>
      <c r="AR27" s="81">
        <v>4.0000000000000027</v>
      </c>
    </row>
    <row r="28" spans="1:44" x14ac:dyDescent="0.2">
      <c r="A28" s="44"/>
      <c r="B28" s="44"/>
      <c r="C28" s="44"/>
      <c r="D28" s="44"/>
      <c r="E28" s="44"/>
      <c r="F28" s="44"/>
      <c r="G28" s="44"/>
      <c r="H28" s="44"/>
      <c r="I28" s="90"/>
      <c r="J28" s="3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</row>
    <row r="29" spans="1:44" ht="15.75" x14ac:dyDescent="0.25">
      <c r="A29" s="22" t="s">
        <v>71</v>
      </c>
      <c r="D29" s="34" t="str">
        <f>IF(H19&lt;100,"Achtung: Punktsumme muss mind. 100 Punkte betragen!!","")</f>
        <v/>
      </c>
      <c r="E29" s="35"/>
      <c r="F29" s="35"/>
      <c r="G29" s="35"/>
      <c r="H29" s="36"/>
      <c r="I29" s="90"/>
      <c r="J29" s="79" t="s">
        <v>100</v>
      </c>
      <c r="L29" s="84">
        <f>L22+L24</f>
        <v>581</v>
      </c>
      <c r="N29" s="83" t="str">
        <f>IF(AND(823&lt;=$L29,$L29&lt;=900),N27,"")</f>
        <v/>
      </c>
      <c r="O29" s="83" t="str">
        <f>IF(AND(805&lt;=$L29,$L29&lt;=822),O27,"")</f>
        <v/>
      </c>
      <c r="P29" s="83" t="str">
        <f>IF(AND(787&lt;=$L29,$L29&lt;=804),P27,"")</f>
        <v/>
      </c>
      <c r="Q29" s="83" t="str">
        <f>IF(AND(769&lt;=$L29,$L29&lt;=786),Q27,"")</f>
        <v/>
      </c>
      <c r="R29" s="83" t="str">
        <f>IF(AND(751&lt;=$L29,$L29&lt;=768),R27,"")</f>
        <v/>
      </c>
      <c r="S29" s="83" t="str">
        <f>IF(AND(733&lt;=$L29,$L29&lt;=750),S27,"")</f>
        <v/>
      </c>
      <c r="T29" s="83" t="str">
        <f>IF(AND(715&lt;=$L29,$L29&lt;=732),T27,"")</f>
        <v/>
      </c>
      <c r="U29" s="83" t="str">
        <f>IF(AND(697&lt;=$L29,$L29&lt;=714),U27,"")</f>
        <v/>
      </c>
      <c r="V29" s="83" t="str">
        <f>IF(AND(679&lt;=$L29,$L29&lt;=696),V27,"")</f>
        <v/>
      </c>
      <c r="W29" s="83" t="str">
        <f>IF(AND(661&lt;=$L29,$L29&lt;=678),W27,"")</f>
        <v/>
      </c>
      <c r="X29" s="83" t="str">
        <f>IF(AND(643&lt;=$L29,$L29&lt;=660),X27,"")</f>
        <v/>
      </c>
      <c r="Y29" s="83" t="str">
        <f>IF(AND(625&lt;=$L29,$L29&lt;=642),Y27,"")</f>
        <v/>
      </c>
      <c r="Z29" s="83" t="str">
        <f>IF(AND(607&lt;=$L29,$L29&lt;=624),Z27,"")</f>
        <v/>
      </c>
      <c r="AA29" s="83" t="str">
        <f>IF(AND(589&lt;=$L29,$L29&lt;=606),AA27,"")</f>
        <v/>
      </c>
      <c r="AB29" s="83">
        <f>IF(AND(571&lt;=$L29,$L29&lt;=588),AB27,"")</f>
        <v>2.4000000000000012</v>
      </c>
      <c r="AC29" s="83" t="str">
        <f>IF(AND(553&lt;=$L29,$L29&lt;=570),AC27,"")</f>
        <v/>
      </c>
      <c r="AD29" s="83" t="str">
        <f>IF(AND(535&lt;=$L29,$L29&lt;=552),AD27,"")</f>
        <v/>
      </c>
      <c r="AE29" s="83" t="str">
        <f>IF(AND(517&lt;=$L29,$L29&lt;=534),AE27,"")</f>
        <v/>
      </c>
      <c r="AF29" s="83" t="str">
        <f>IF(AND(499&lt;=$L29,$L29&lt;=516),AF27,"")</f>
        <v/>
      </c>
      <c r="AG29" s="83" t="str">
        <f>IF(AND(481&lt;=$L29,$L29&lt;=498),AG27,"")</f>
        <v/>
      </c>
      <c r="AH29" s="83" t="str">
        <f>IF(AND(463&lt;=$L29,$L29&lt;=480),AH27,"")</f>
        <v/>
      </c>
      <c r="AI29" s="83" t="str">
        <f>IF(AND(445&lt;=$L29,$L29&lt;=462),AI27,"")</f>
        <v/>
      </c>
      <c r="AJ29" s="83" t="str">
        <f>IF(AND(427&lt;=$L29,$L29&lt;=440),AJ27,"")</f>
        <v/>
      </c>
      <c r="AK29" s="83" t="str">
        <f>IF(AND(409&lt;=$L29,$L29&lt;=426),AK27,"")</f>
        <v/>
      </c>
      <c r="AL29" s="83" t="str">
        <f>IF(AND(391&lt;=$L29,$L29&lt;=408),AL27,"")</f>
        <v/>
      </c>
      <c r="AM29" s="83" t="str">
        <f>IF(AND(373&lt;=$L29,$L29&lt;=390),AM27,"")</f>
        <v/>
      </c>
      <c r="AN29" s="83" t="str">
        <f>IF(AND(355&lt;=$L29,$L29&lt;=372),AN27,"")</f>
        <v/>
      </c>
      <c r="AO29" s="83" t="str">
        <f>IF(AND(337&lt;=$L29,$L29&lt;=354),AO27,"")</f>
        <v/>
      </c>
      <c r="AP29" s="83" t="str">
        <f>IF(AND(319&lt;=$L29,$L29&lt;=336),AP27,"")</f>
        <v/>
      </c>
      <c r="AQ29" s="83" t="str">
        <f>IF(AND(301&lt;=$L29,$L29&lt;=318),AQ27,"")</f>
        <v/>
      </c>
      <c r="AR29" s="83" t="str">
        <f>IF(AND(300&lt;=$L29,$L29&lt;=300),AR27,"")</f>
        <v/>
      </c>
    </row>
    <row r="30" spans="1:44" x14ac:dyDescent="0.2">
      <c r="D30" s="121" t="str">
        <f>IF(AND(E14="",P16=""),IF(IF(H10&lt;25,1,0)+IF(H11&lt;25,1,0)+IF(H12&lt;25,1,0)+IF(H13&lt;25,1,0)&gt;2,"Achtung: Bei 4 Pfern in mind. 2 Fächern mind. 05 (bzw. fünffach: 25) Punkte!!",""),"")</f>
        <v/>
      </c>
      <c r="E30" s="38"/>
      <c r="F30" s="38"/>
      <c r="G30" s="38"/>
      <c r="H30" s="39"/>
      <c r="I30" s="90"/>
      <c r="N30" s="85">
        <v>900</v>
      </c>
      <c r="O30" s="85">
        <f>N30-78</f>
        <v>822</v>
      </c>
      <c r="P30" s="85">
        <f>O30-18</f>
        <v>804</v>
      </c>
      <c r="Q30" s="85">
        <f t="shared" ref="Q30:AR30" si="3">P30-18</f>
        <v>786</v>
      </c>
      <c r="R30" s="85">
        <f t="shared" si="3"/>
        <v>768</v>
      </c>
      <c r="S30" s="85">
        <f t="shared" si="3"/>
        <v>750</v>
      </c>
      <c r="T30" s="85">
        <f t="shared" si="3"/>
        <v>732</v>
      </c>
      <c r="U30" s="85">
        <f t="shared" si="3"/>
        <v>714</v>
      </c>
      <c r="V30" s="85">
        <f t="shared" si="3"/>
        <v>696</v>
      </c>
      <c r="W30" s="85">
        <f t="shared" si="3"/>
        <v>678</v>
      </c>
      <c r="X30" s="85">
        <f t="shared" si="3"/>
        <v>660</v>
      </c>
      <c r="Y30" s="85">
        <f t="shared" si="3"/>
        <v>642</v>
      </c>
      <c r="Z30" s="85">
        <f t="shared" si="3"/>
        <v>624</v>
      </c>
      <c r="AA30" s="85">
        <f t="shared" si="3"/>
        <v>606</v>
      </c>
      <c r="AB30" s="85">
        <f t="shared" si="3"/>
        <v>588</v>
      </c>
      <c r="AC30" s="85">
        <f t="shared" si="3"/>
        <v>570</v>
      </c>
      <c r="AD30" s="85">
        <f t="shared" si="3"/>
        <v>552</v>
      </c>
      <c r="AE30" s="85">
        <f t="shared" si="3"/>
        <v>534</v>
      </c>
      <c r="AF30" s="85">
        <f t="shared" si="3"/>
        <v>516</v>
      </c>
      <c r="AG30" s="85">
        <f t="shared" si="3"/>
        <v>498</v>
      </c>
      <c r="AH30" s="85">
        <f t="shared" si="3"/>
        <v>480</v>
      </c>
      <c r="AI30" s="85">
        <f t="shared" si="3"/>
        <v>462</v>
      </c>
      <c r="AJ30" s="85">
        <f t="shared" si="3"/>
        <v>444</v>
      </c>
      <c r="AK30" s="85">
        <f t="shared" si="3"/>
        <v>426</v>
      </c>
      <c r="AL30" s="85">
        <f t="shared" si="3"/>
        <v>408</v>
      </c>
      <c r="AM30" s="85">
        <f t="shared" si="3"/>
        <v>390</v>
      </c>
      <c r="AN30" s="85">
        <f t="shared" si="3"/>
        <v>372</v>
      </c>
      <c r="AO30" s="85">
        <f t="shared" si="3"/>
        <v>354</v>
      </c>
      <c r="AP30" s="85">
        <f t="shared" si="3"/>
        <v>336</v>
      </c>
      <c r="AQ30" s="85">
        <f t="shared" si="3"/>
        <v>318</v>
      </c>
      <c r="AR30" s="85">
        <f t="shared" si="3"/>
        <v>300</v>
      </c>
    </row>
    <row r="31" spans="1:44" ht="15.75" x14ac:dyDescent="0.25">
      <c r="D31" s="122" t="str">
        <f>IF(OR(E14&lt;&gt;"",E16&lt;&gt;""),IF(IF(H10&lt;20,1,0)+IF(H11&lt;20,1,0)+IF(H12&lt;20,1,0)+IF(H13&lt;20,1,0)+IF(H14&lt;20,1,0)+IF(H16&lt;20,1,0)&gt;3,"Achtung: Bei 5 Pfern in mind. 3 Fächern mind. 05 (bzw. vierfach: 20) Punkte!!",""),"")</f>
        <v/>
      </c>
      <c r="E31" s="41"/>
      <c r="F31" s="41"/>
      <c r="G31" s="41"/>
      <c r="H31" s="42"/>
      <c r="I31" s="90"/>
      <c r="J31" s="79" t="s">
        <v>99</v>
      </c>
      <c r="L31" s="113">
        <f>IF(SUM(N29:AR29)&lt;&gt;0,SUM(N29:AR29),"")</f>
        <v>2.4000000000000012</v>
      </c>
      <c r="N31" s="83" t="str">
        <f>IF(AND(O30+1&lt;=$L29,$L29&lt;=N30),N27,"")</f>
        <v/>
      </c>
      <c r="O31" s="83" t="str">
        <f t="shared" ref="O31:AR31" si="4">IF(AND(P30+1&lt;=$L29,$L29&lt;=O30),O27,"")</f>
        <v/>
      </c>
      <c r="P31" s="83" t="str">
        <f t="shared" si="4"/>
        <v/>
      </c>
      <c r="Q31" s="83" t="str">
        <f t="shared" si="4"/>
        <v/>
      </c>
      <c r="R31" s="83" t="str">
        <f t="shared" si="4"/>
        <v/>
      </c>
      <c r="S31" s="83" t="str">
        <f t="shared" si="4"/>
        <v/>
      </c>
      <c r="T31" s="83" t="str">
        <f t="shared" si="4"/>
        <v/>
      </c>
      <c r="U31" s="83" t="str">
        <f t="shared" si="4"/>
        <v/>
      </c>
      <c r="V31" s="83" t="str">
        <f t="shared" si="4"/>
        <v/>
      </c>
      <c r="W31" s="83" t="str">
        <f t="shared" si="4"/>
        <v/>
      </c>
      <c r="X31" s="83" t="str">
        <f t="shared" si="4"/>
        <v/>
      </c>
      <c r="Y31" s="83" t="str">
        <f t="shared" si="4"/>
        <v/>
      </c>
      <c r="Z31" s="83" t="str">
        <f t="shared" si="4"/>
        <v/>
      </c>
      <c r="AA31" s="83" t="str">
        <f t="shared" si="4"/>
        <v/>
      </c>
      <c r="AB31" s="83">
        <f t="shared" si="4"/>
        <v>2.4000000000000012</v>
      </c>
      <c r="AC31" s="83" t="str">
        <f t="shared" si="4"/>
        <v/>
      </c>
      <c r="AD31" s="83" t="str">
        <f t="shared" si="4"/>
        <v/>
      </c>
      <c r="AE31" s="83" t="str">
        <f t="shared" si="4"/>
        <v/>
      </c>
      <c r="AF31" s="83" t="str">
        <f t="shared" si="4"/>
        <v/>
      </c>
      <c r="AG31" s="83" t="str">
        <f t="shared" si="4"/>
        <v/>
      </c>
      <c r="AH31" s="83" t="str">
        <f t="shared" si="4"/>
        <v/>
      </c>
      <c r="AI31" s="83" t="str">
        <f t="shared" si="4"/>
        <v/>
      </c>
      <c r="AJ31" s="83" t="str">
        <f t="shared" si="4"/>
        <v/>
      </c>
      <c r="AK31" s="83" t="str">
        <f t="shared" si="4"/>
        <v/>
      </c>
      <c r="AL31" s="83" t="str">
        <f t="shared" si="4"/>
        <v/>
      </c>
      <c r="AM31" s="83" t="str">
        <f t="shared" si="4"/>
        <v/>
      </c>
      <c r="AN31" s="83" t="str">
        <f t="shared" si="4"/>
        <v/>
      </c>
      <c r="AO31" s="83" t="str">
        <f t="shared" si="4"/>
        <v/>
      </c>
      <c r="AP31" s="83" t="str">
        <f t="shared" si="4"/>
        <v/>
      </c>
      <c r="AQ31" s="83" t="str">
        <f t="shared" si="4"/>
        <v/>
      </c>
      <c r="AR31" s="83" t="str">
        <f t="shared" si="4"/>
        <v/>
      </c>
    </row>
    <row r="32" spans="1:44" x14ac:dyDescent="0.2">
      <c r="I32" s="90"/>
    </row>
  </sheetData>
  <mergeCells count="1">
    <mergeCell ref="D7:E7"/>
  </mergeCells>
  <conditionalFormatting sqref="F10:F14">
    <cfRule type="expression" dxfId="1" priority="2" stopIfTrue="1">
      <formula>AND(#REF!="",#REF!="")</formula>
    </cfRule>
  </conditionalFormatting>
  <conditionalFormatting sqref="G10:G16">
    <cfRule type="expression" dxfId="0" priority="1" stopIfTrue="1">
      <formula>OR(#REF!&lt;&gt;"",#REF!&lt;&gt;"")</formula>
    </cfRule>
  </conditionalFormatting>
  <printOptions gridLines="1"/>
  <pageMargins left="0.39370078740157483" right="0.19685039370078741" top="0.98425196850393704" bottom="0.59055118110236227" header="0.51181102362204722" footer="0.51181102362204722"/>
  <pageSetup paperSize="9" scale="60" orientation="landscape" horizontalDpi="300" verticalDpi="300" r:id="rId1"/>
  <headerFooter alignWithMargins="0">
    <oddHeader>&amp;C&amp;F -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AX25"/>
  <sheetViews>
    <sheetView workbookViewId="0">
      <selection activeCell="N25" sqref="N25"/>
    </sheetView>
  </sheetViews>
  <sheetFormatPr baseColWidth="10" defaultRowHeight="12.75" x14ac:dyDescent="0.2"/>
  <cols>
    <col min="1" max="1" width="13.140625" style="98" customWidth="1"/>
    <col min="2" max="2" width="1" style="98" customWidth="1"/>
    <col min="3" max="3" width="5" style="101" customWidth="1"/>
    <col min="4" max="4" width="12.85546875" style="101" bestFit="1" customWidth="1"/>
    <col min="5" max="5" width="8.85546875" style="101" bestFit="1" customWidth="1"/>
    <col min="6" max="6" width="6.28515625" style="101" bestFit="1" customWidth="1"/>
    <col min="7" max="7" width="1.28515625" style="98" customWidth="1"/>
    <col min="8" max="38" width="3.28515625" style="98" bestFit="1" customWidth="1"/>
    <col min="39" max="16384" width="11.42578125" style="98"/>
  </cols>
  <sheetData>
    <row r="1" spans="1:50" ht="15.75" x14ac:dyDescent="0.25">
      <c r="A1" s="105" t="s">
        <v>112</v>
      </c>
      <c r="B1" s="102"/>
      <c r="C1" s="103"/>
      <c r="D1" s="103"/>
      <c r="E1" s="103"/>
      <c r="F1" s="103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4"/>
      <c r="AA1" s="102"/>
      <c r="AB1" s="102"/>
      <c r="AC1" s="102"/>
      <c r="AD1" s="102"/>
      <c r="AE1" s="104"/>
    </row>
    <row r="3" spans="1:50" ht="25.5" x14ac:dyDescent="0.2">
      <c r="A3" s="106"/>
      <c r="B3" s="106"/>
      <c r="C3" s="107" t="s">
        <v>113</v>
      </c>
      <c r="D3" s="108" t="s">
        <v>114</v>
      </c>
      <c r="E3" s="108" t="s">
        <v>110</v>
      </c>
      <c r="F3" s="108" t="s">
        <v>111</v>
      </c>
      <c r="G3" s="109"/>
      <c r="H3" s="110">
        <v>1</v>
      </c>
      <c r="I3" s="110">
        <f>H3+0.1</f>
        <v>1.1000000000000001</v>
      </c>
      <c r="J3" s="110">
        <f t="shared" ref="J3:AL3" si="0">I3+0.1</f>
        <v>1.2000000000000002</v>
      </c>
      <c r="K3" s="110">
        <f t="shared" si="0"/>
        <v>1.3000000000000003</v>
      </c>
      <c r="L3" s="110">
        <f t="shared" si="0"/>
        <v>1.4000000000000004</v>
      </c>
      <c r="M3" s="110">
        <f t="shared" si="0"/>
        <v>1.5000000000000004</v>
      </c>
      <c r="N3" s="110">
        <f t="shared" si="0"/>
        <v>1.6000000000000005</v>
      </c>
      <c r="O3" s="110">
        <f t="shared" si="0"/>
        <v>1.7000000000000006</v>
      </c>
      <c r="P3" s="110">
        <f t="shared" si="0"/>
        <v>1.8000000000000007</v>
      </c>
      <c r="Q3" s="110">
        <f t="shared" si="0"/>
        <v>1.9000000000000008</v>
      </c>
      <c r="R3" s="110">
        <f t="shared" si="0"/>
        <v>2.0000000000000009</v>
      </c>
      <c r="S3" s="110">
        <f t="shared" si="0"/>
        <v>2.100000000000001</v>
      </c>
      <c r="T3" s="110">
        <f t="shared" si="0"/>
        <v>2.2000000000000011</v>
      </c>
      <c r="U3" s="110">
        <f t="shared" si="0"/>
        <v>2.3000000000000012</v>
      </c>
      <c r="V3" s="110">
        <f t="shared" si="0"/>
        <v>2.4000000000000012</v>
      </c>
      <c r="W3" s="110">
        <f t="shared" si="0"/>
        <v>2.5000000000000013</v>
      </c>
      <c r="X3" s="110">
        <f t="shared" si="0"/>
        <v>2.6000000000000014</v>
      </c>
      <c r="Y3" s="110">
        <f t="shared" si="0"/>
        <v>2.7000000000000015</v>
      </c>
      <c r="Z3" s="110">
        <f t="shared" si="0"/>
        <v>2.8000000000000016</v>
      </c>
      <c r="AA3" s="110">
        <f t="shared" si="0"/>
        <v>2.9000000000000017</v>
      </c>
      <c r="AB3" s="110">
        <f t="shared" si="0"/>
        <v>3.0000000000000018</v>
      </c>
      <c r="AC3" s="110">
        <f t="shared" si="0"/>
        <v>3.1000000000000019</v>
      </c>
      <c r="AD3" s="110">
        <f t="shared" si="0"/>
        <v>3.200000000000002</v>
      </c>
      <c r="AE3" s="110">
        <f t="shared" si="0"/>
        <v>3.300000000000002</v>
      </c>
      <c r="AF3" s="110">
        <f t="shared" si="0"/>
        <v>3.4000000000000021</v>
      </c>
      <c r="AG3" s="110">
        <f t="shared" si="0"/>
        <v>3.5000000000000022</v>
      </c>
      <c r="AH3" s="110">
        <f t="shared" si="0"/>
        <v>3.6000000000000023</v>
      </c>
      <c r="AI3" s="110">
        <f t="shared" si="0"/>
        <v>3.7000000000000024</v>
      </c>
      <c r="AJ3" s="110">
        <f t="shared" si="0"/>
        <v>3.8000000000000025</v>
      </c>
      <c r="AK3" s="110">
        <f t="shared" si="0"/>
        <v>3.9000000000000026</v>
      </c>
      <c r="AL3" s="110">
        <f t="shared" si="0"/>
        <v>4.0000000000000027</v>
      </c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</row>
    <row r="4" spans="1:50" s="112" customFormat="1" x14ac:dyDescent="0.2">
      <c r="A4" s="106"/>
      <c r="B4" s="106"/>
      <c r="C4" s="108"/>
      <c r="D4" s="108"/>
      <c r="E4" s="108"/>
      <c r="F4" s="108"/>
      <c r="G4" s="109"/>
      <c r="H4" s="111">
        <v>900</v>
      </c>
      <c r="I4" s="111">
        <f>H4-78</f>
        <v>822</v>
      </c>
      <c r="J4" s="111">
        <f>I4-18</f>
        <v>804</v>
      </c>
      <c r="K4" s="111">
        <f t="shared" ref="K4:AL4" si="1">J4-18</f>
        <v>786</v>
      </c>
      <c r="L4" s="111">
        <f t="shared" si="1"/>
        <v>768</v>
      </c>
      <c r="M4" s="111">
        <f t="shared" si="1"/>
        <v>750</v>
      </c>
      <c r="N4" s="111">
        <f t="shared" si="1"/>
        <v>732</v>
      </c>
      <c r="O4" s="111">
        <f t="shared" si="1"/>
        <v>714</v>
      </c>
      <c r="P4" s="111">
        <f t="shared" si="1"/>
        <v>696</v>
      </c>
      <c r="Q4" s="111">
        <f t="shared" si="1"/>
        <v>678</v>
      </c>
      <c r="R4" s="111">
        <f t="shared" si="1"/>
        <v>660</v>
      </c>
      <c r="S4" s="111">
        <f t="shared" si="1"/>
        <v>642</v>
      </c>
      <c r="T4" s="111">
        <f t="shared" si="1"/>
        <v>624</v>
      </c>
      <c r="U4" s="111">
        <f t="shared" si="1"/>
        <v>606</v>
      </c>
      <c r="V4" s="111">
        <f t="shared" si="1"/>
        <v>588</v>
      </c>
      <c r="W4" s="111">
        <f t="shared" si="1"/>
        <v>570</v>
      </c>
      <c r="X4" s="111">
        <f t="shared" si="1"/>
        <v>552</v>
      </c>
      <c r="Y4" s="111">
        <f t="shared" si="1"/>
        <v>534</v>
      </c>
      <c r="Z4" s="111">
        <f t="shared" si="1"/>
        <v>516</v>
      </c>
      <c r="AA4" s="111">
        <f t="shared" si="1"/>
        <v>498</v>
      </c>
      <c r="AB4" s="111">
        <f t="shared" si="1"/>
        <v>480</v>
      </c>
      <c r="AC4" s="111">
        <f t="shared" si="1"/>
        <v>462</v>
      </c>
      <c r="AD4" s="111">
        <f t="shared" si="1"/>
        <v>444</v>
      </c>
      <c r="AE4" s="111">
        <f t="shared" si="1"/>
        <v>426</v>
      </c>
      <c r="AF4" s="111">
        <f t="shared" si="1"/>
        <v>408</v>
      </c>
      <c r="AG4" s="111">
        <f t="shared" si="1"/>
        <v>390</v>
      </c>
      <c r="AH4" s="111">
        <f t="shared" si="1"/>
        <v>372</v>
      </c>
      <c r="AI4" s="111">
        <f t="shared" si="1"/>
        <v>354</v>
      </c>
      <c r="AJ4" s="111">
        <f t="shared" si="1"/>
        <v>336</v>
      </c>
      <c r="AK4" s="111">
        <f t="shared" si="1"/>
        <v>318</v>
      </c>
      <c r="AL4" s="111">
        <f t="shared" si="1"/>
        <v>300</v>
      </c>
    </row>
    <row r="5" spans="1:50" s="112" customFormat="1" ht="3.75" customHeight="1" x14ac:dyDescent="0.2">
      <c r="A5" s="106"/>
      <c r="B5" s="106"/>
      <c r="C5" s="108"/>
      <c r="D5" s="108"/>
      <c r="E5" s="108"/>
      <c r="F5" s="108"/>
      <c r="G5" s="109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50" ht="12.75" customHeight="1" x14ac:dyDescent="0.2">
      <c r="A6" s="99" t="s">
        <v>115</v>
      </c>
      <c r="B6" s="94"/>
      <c r="C6" s="114">
        <v>370</v>
      </c>
      <c r="D6" s="95"/>
      <c r="E6" s="118">
        <f>C6</f>
        <v>370</v>
      </c>
      <c r="F6" s="100">
        <f t="shared" ref="F6:F11" si="2">IF(SUM(H6:AL6)&lt;&gt;0,SUM(H6:AL6),"")</f>
        <v>3.6000000000000023</v>
      </c>
      <c r="G6" s="96"/>
      <c r="H6" s="83" t="str">
        <f>IF(AND(I$4+1&lt;=$E6,$E6&lt;=H$4),H$3,"")</f>
        <v/>
      </c>
      <c r="I6" s="83" t="str">
        <f t="shared" ref="I6:AL6" si="3">IF(AND(J$4+1&lt;=$E6,$E6&lt;=I$4),I$3,"")</f>
        <v/>
      </c>
      <c r="J6" s="83" t="str">
        <f t="shared" si="3"/>
        <v/>
      </c>
      <c r="K6" s="83" t="str">
        <f t="shared" si="3"/>
        <v/>
      </c>
      <c r="L6" s="83" t="str">
        <f t="shared" si="3"/>
        <v/>
      </c>
      <c r="M6" s="83" t="str">
        <f t="shared" si="3"/>
        <v/>
      </c>
      <c r="N6" s="83" t="str">
        <f t="shared" si="3"/>
        <v/>
      </c>
      <c r="O6" s="83" t="str">
        <f t="shared" si="3"/>
        <v/>
      </c>
      <c r="P6" s="83" t="str">
        <f t="shared" si="3"/>
        <v/>
      </c>
      <c r="Q6" s="83" t="str">
        <f t="shared" si="3"/>
        <v/>
      </c>
      <c r="R6" s="83" t="str">
        <f t="shared" si="3"/>
        <v/>
      </c>
      <c r="S6" s="83" t="str">
        <f t="shared" si="3"/>
        <v/>
      </c>
      <c r="T6" s="83" t="str">
        <f t="shared" si="3"/>
        <v/>
      </c>
      <c r="U6" s="83" t="str">
        <f t="shared" si="3"/>
        <v/>
      </c>
      <c r="V6" s="83" t="str">
        <f t="shared" si="3"/>
        <v/>
      </c>
      <c r="W6" s="83" t="str">
        <f t="shared" si="3"/>
        <v/>
      </c>
      <c r="X6" s="83" t="str">
        <f t="shared" si="3"/>
        <v/>
      </c>
      <c r="Y6" s="83" t="str">
        <f t="shared" si="3"/>
        <v/>
      </c>
      <c r="Z6" s="83" t="str">
        <f t="shared" si="3"/>
        <v/>
      </c>
      <c r="AA6" s="83" t="str">
        <f t="shared" si="3"/>
        <v/>
      </c>
      <c r="AB6" s="83" t="str">
        <f t="shared" si="3"/>
        <v/>
      </c>
      <c r="AC6" s="83" t="str">
        <f t="shared" si="3"/>
        <v/>
      </c>
      <c r="AD6" s="83" t="str">
        <f t="shared" si="3"/>
        <v/>
      </c>
      <c r="AE6" s="83" t="str">
        <f t="shared" si="3"/>
        <v/>
      </c>
      <c r="AF6" s="83" t="str">
        <f t="shared" si="3"/>
        <v/>
      </c>
      <c r="AG6" s="83" t="str">
        <f t="shared" si="3"/>
        <v/>
      </c>
      <c r="AH6" s="83">
        <f t="shared" si="3"/>
        <v>3.6000000000000023</v>
      </c>
      <c r="AI6" s="83" t="str">
        <f t="shared" si="3"/>
        <v/>
      </c>
      <c r="AJ6" s="83" t="str">
        <f t="shared" si="3"/>
        <v/>
      </c>
      <c r="AK6" s="83" t="str">
        <f t="shared" si="3"/>
        <v/>
      </c>
      <c r="AL6" s="83" t="str">
        <f t="shared" si="3"/>
        <v/>
      </c>
    </row>
    <row r="7" spans="1:50" x14ac:dyDescent="0.2">
      <c r="A7" s="99" t="s">
        <v>117</v>
      </c>
      <c r="B7" s="94"/>
      <c r="C7" s="114" t="s">
        <v>118</v>
      </c>
      <c r="D7" s="95">
        <v>1</v>
      </c>
      <c r="E7" s="118">
        <f>E$6+D7*IF(C$7="n",5,1)*IF(C$7="j",4,1)</f>
        <v>375</v>
      </c>
      <c r="F7" s="100">
        <f t="shared" si="2"/>
        <v>3.5000000000000022</v>
      </c>
      <c r="G7" s="96"/>
      <c r="H7" s="83" t="str">
        <f t="shared" ref="H7:AL7" si="4">IF(AND(I$4+1&lt;=$E7,$E7&lt;=H$4),H$3,"")</f>
        <v/>
      </c>
      <c r="I7" s="83" t="str">
        <f t="shared" si="4"/>
        <v/>
      </c>
      <c r="J7" s="83" t="str">
        <f t="shared" si="4"/>
        <v/>
      </c>
      <c r="K7" s="83" t="str">
        <f t="shared" si="4"/>
        <v/>
      </c>
      <c r="L7" s="83" t="str">
        <f t="shared" si="4"/>
        <v/>
      </c>
      <c r="M7" s="83" t="str">
        <f t="shared" si="4"/>
        <v/>
      </c>
      <c r="N7" s="83" t="str">
        <f t="shared" si="4"/>
        <v/>
      </c>
      <c r="O7" s="83" t="str">
        <f t="shared" si="4"/>
        <v/>
      </c>
      <c r="P7" s="83" t="str">
        <f t="shared" si="4"/>
        <v/>
      </c>
      <c r="Q7" s="83" t="str">
        <f t="shared" si="4"/>
        <v/>
      </c>
      <c r="R7" s="83" t="str">
        <f t="shared" si="4"/>
        <v/>
      </c>
      <c r="S7" s="83" t="str">
        <f t="shared" si="4"/>
        <v/>
      </c>
      <c r="T7" s="83" t="str">
        <f t="shared" si="4"/>
        <v/>
      </c>
      <c r="U7" s="83" t="str">
        <f t="shared" si="4"/>
        <v/>
      </c>
      <c r="V7" s="83" t="str">
        <f t="shared" si="4"/>
        <v/>
      </c>
      <c r="W7" s="83" t="str">
        <f t="shared" si="4"/>
        <v/>
      </c>
      <c r="X7" s="83" t="str">
        <f t="shared" si="4"/>
        <v/>
      </c>
      <c r="Y7" s="83" t="str">
        <f t="shared" si="4"/>
        <v/>
      </c>
      <c r="Z7" s="83" t="str">
        <f t="shared" si="4"/>
        <v/>
      </c>
      <c r="AA7" s="83" t="str">
        <f t="shared" si="4"/>
        <v/>
      </c>
      <c r="AB7" s="83" t="str">
        <f t="shared" si="4"/>
        <v/>
      </c>
      <c r="AC7" s="83" t="str">
        <f t="shared" si="4"/>
        <v/>
      </c>
      <c r="AD7" s="83" t="str">
        <f t="shared" si="4"/>
        <v/>
      </c>
      <c r="AE7" s="83" t="str">
        <f t="shared" si="4"/>
        <v/>
      </c>
      <c r="AF7" s="83" t="str">
        <f t="shared" si="4"/>
        <v/>
      </c>
      <c r="AG7" s="83">
        <f t="shared" si="4"/>
        <v>3.5000000000000022</v>
      </c>
      <c r="AH7" s="83" t="str">
        <f t="shared" si="4"/>
        <v/>
      </c>
      <c r="AI7" s="83" t="str">
        <f t="shared" si="4"/>
        <v/>
      </c>
      <c r="AJ7" s="83" t="str">
        <f t="shared" si="4"/>
        <v/>
      </c>
      <c r="AK7" s="83" t="str">
        <f t="shared" si="4"/>
        <v/>
      </c>
      <c r="AL7" s="83" t="str">
        <f t="shared" si="4"/>
        <v/>
      </c>
    </row>
    <row r="8" spans="1:50" x14ac:dyDescent="0.2">
      <c r="C8" s="95"/>
      <c r="D8" s="95">
        <f>D7+4</f>
        <v>5</v>
      </c>
      <c r="E8" s="118">
        <f t="shared" ref="E8:E10" si="5">E$6+D8*IF(C$7="n",5,1)*IF(C$7="j",4,1)</f>
        <v>395</v>
      </c>
      <c r="F8" s="100">
        <f t="shared" si="2"/>
        <v>3.4000000000000021</v>
      </c>
      <c r="G8" s="96"/>
      <c r="H8" s="83" t="str">
        <f t="shared" ref="H8:AL8" si="6">IF(AND(I$4+1&lt;=$E8,$E8&lt;=H$4),H$3,"")</f>
        <v/>
      </c>
      <c r="I8" s="83" t="str">
        <f t="shared" si="6"/>
        <v/>
      </c>
      <c r="J8" s="83" t="str">
        <f t="shared" si="6"/>
        <v/>
      </c>
      <c r="K8" s="83" t="str">
        <f t="shared" si="6"/>
        <v/>
      </c>
      <c r="L8" s="83" t="str">
        <f t="shared" si="6"/>
        <v/>
      </c>
      <c r="M8" s="83" t="str">
        <f t="shared" si="6"/>
        <v/>
      </c>
      <c r="N8" s="83" t="str">
        <f t="shared" si="6"/>
        <v/>
      </c>
      <c r="O8" s="83" t="str">
        <f t="shared" si="6"/>
        <v/>
      </c>
      <c r="P8" s="83" t="str">
        <f t="shared" si="6"/>
        <v/>
      </c>
      <c r="Q8" s="83" t="str">
        <f t="shared" si="6"/>
        <v/>
      </c>
      <c r="R8" s="83" t="str">
        <f t="shared" si="6"/>
        <v/>
      </c>
      <c r="S8" s="83" t="str">
        <f t="shared" si="6"/>
        <v/>
      </c>
      <c r="T8" s="83" t="str">
        <f t="shared" si="6"/>
        <v/>
      </c>
      <c r="U8" s="83" t="str">
        <f t="shared" si="6"/>
        <v/>
      </c>
      <c r="V8" s="83" t="str">
        <f t="shared" si="6"/>
        <v/>
      </c>
      <c r="W8" s="83" t="str">
        <f t="shared" si="6"/>
        <v/>
      </c>
      <c r="X8" s="83" t="str">
        <f t="shared" si="6"/>
        <v/>
      </c>
      <c r="Y8" s="83" t="str">
        <f t="shared" si="6"/>
        <v/>
      </c>
      <c r="Z8" s="83" t="str">
        <f t="shared" si="6"/>
        <v/>
      </c>
      <c r="AA8" s="83" t="str">
        <f t="shared" si="6"/>
        <v/>
      </c>
      <c r="AB8" s="83" t="str">
        <f t="shared" si="6"/>
        <v/>
      </c>
      <c r="AC8" s="83" t="str">
        <f t="shared" si="6"/>
        <v/>
      </c>
      <c r="AD8" s="83" t="str">
        <f t="shared" si="6"/>
        <v/>
      </c>
      <c r="AE8" s="83" t="str">
        <f t="shared" si="6"/>
        <v/>
      </c>
      <c r="AF8" s="83">
        <f t="shared" si="6"/>
        <v>3.4000000000000021</v>
      </c>
      <c r="AG8" s="83" t="str">
        <f t="shared" si="6"/>
        <v/>
      </c>
      <c r="AH8" s="83" t="str">
        <f t="shared" si="6"/>
        <v/>
      </c>
      <c r="AI8" s="83" t="str">
        <f t="shared" si="6"/>
        <v/>
      </c>
      <c r="AJ8" s="83" t="str">
        <f t="shared" si="6"/>
        <v/>
      </c>
      <c r="AK8" s="83" t="str">
        <f t="shared" si="6"/>
        <v/>
      </c>
      <c r="AL8" s="83" t="str">
        <f t="shared" si="6"/>
        <v/>
      </c>
    </row>
    <row r="9" spans="1:50" x14ac:dyDescent="0.2">
      <c r="C9" s="95"/>
      <c r="D9" s="95">
        <v>8</v>
      </c>
      <c r="E9" s="118">
        <f t="shared" si="5"/>
        <v>410</v>
      </c>
      <c r="F9" s="100">
        <f t="shared" si="2"/>
        <v>3.300000000000002</v>
      </c>
      <c r="G9" s="96"/>
      <c r="H9" s="83" t="str">
        <f t="shared" ref="H9:AL9" si="7">IF(AND(I$4+1&lt;=$E9,$E9&lt;=H$4),H$3,"")</f>
        <v/>
      </c>
      <c r="I9" s="83" t="str">
        <f t="shared" si="7"/>
        <v/>
      </c>
      <c r="J9" s="83" t="str">
        <f t="shared" si="7"/>
        <v/>
      </c>
      <c r="K9" s="83" t="str">
        <f t="shared" si="7"/>
        <v/>
      </c>
      <c r="L9" s="83" t="str">
        <f t="shared" si="7"/>
        <v/>
      </c>
      <c r="M9" s="83" t="str">
        <f t="shared" si="7"/>
        <v/>
      </c>
      <c r="N9" s="83" t="str">
        <f t="shared" si="7"/>
        <v/>
      </c>
      <c r="O9" s="83" t="str">
        <f t="shared" si="7"/>
        <v/>
      </c>
      <c r="P9" s="83" t="str">
        <f t="shared" si="7"/>
        <v/>
      </c>
      <c r="Q9" s="83" t="str">
        <f t="shared" si="7"/>
        <v/>
      </c>
      <c r="R9" s="83" t="str">
        <f t="shared" si="7"/>
        <v/>
      </c>
      <c r="S9" s="83" t="str">
        <f t="shared" si="7"/>
        <v/>
      </c>
      <c r="T9" s="83" t="str">
        <f t="shared" si="7"/>
        <v/>
      </c>
      <c r="U9" s="83" t="str">
        <f t="shared" si="7"/>
        <v/>
      </c>
      <c r="V9" s="83" t="str">
        <f t="shared" si="7"/>
        <v/>
      </c>
      <c r="W9" s="83" t="str">
        <f t="shared" si="7"/>
        <v/>
      </c>
      <c r="X9" s="83" t="str">
        <f t="shared" si="7"/>
        <v/>
      </c>
      <c r="Y9" s="83" t="str">
        <f t="shared" si="7"/>
        <v/>
      </c>
      <c r="Z9" s="83" t="str">
        <f t="shared" si="7"/>
        <v/>
      </c>
      <c r="AA9" s="83" t="str">
        <f t="shared" si="7"/>
        <v/>
      </c>
      <c r="AB9" s="83" t="str">
        <f t="shared" si="7"/>
        <v/>
      </c>
      <c r="AC9" s="83" t="str">
        <f t="shared" si="7"/>
        <v/>
      </c>
      <c r="AD9" s="83" t="str">
        <f t="shared" si="7"/>
        <v/>
      </c>
      <c r="AE9" s="83">
        <f t="shared" si="7"/>
        <v>3.300000000000002</v>
      </c>
      <c r="AF9" s="83" t="str">
        <f t="shared" si="7"/>
        <v/>
      </c>
      <c r="AG9" s="83" t="str">
        <f t="shared" si="7"/>
        <v/>
      </c>
      <c r="AH9" s="83" t="str">
        <f t="shared" si="7"/>
        <v/>
      </c>
      <c r="AI9" s="83" t="str">
        <f t="shared" si="7"/>
        <v/>
      </c>
      <c r="AJ9" s="83" t="str">
        <f t="shared" si="7"/>
        <v/>
      </c>
      <c r="AK9" s="83" t="str">
        <f t="shared" si="7"/>
        <v/>
      </c>
      <c r="AL9" s="83" t="str">
        <f t="shared" si="7"/>
        <v/>
      </c>
    </row>
    <row r="10" spans="1:50" x14ac:dyDescent="0.2">
      <c r="C10" s="95"/>
      <c r="D10" s="95">
        <v>12</v>
      </c>
      <c r="E10" s="118">
        <f t="shared" si="5"/>
        <v>430</v>
      </c>
      <c r="F10" s="100">
        <f t="shared" si="2"/>
        <v>3.200000000000002</v>
      </c>
      <c r="G10" s="96"/>
      <c r="H10" s="83" t="str">
        <f t="shared" ref="H10:AL11" si="8">IF(AND(I$4+1&lt;=$E10,$E10&lt;=H$4),H$3,"")</f>
        <v/>
      </c>
      <c r="I10" s="83" t="str">
        <f t="shared" si="8"/>
        <v/>
      </c>
      <c r="J10" s="83" t="str">
        <f t="shared" si="8"/>
        <v/>
      </c>
      <c r="K10" s="83" t="str">
        <f t="shared" si="8"/>
        <v/>
      </c>
      <c r="L10" s="83" t="str">
        <f t="shared" si="8"/>
        <v/>
      </c>
      <c r="M10" s="83" t="str">
        <f t="shared" si="8"/>
        <v/>
      </c>
      <c r="N10" s="83" t="str">
        <f t="shared" si="8"/>
        <v/>
      </c>
      <c r="O10" s="83" t="str">
        <f t="shared" si="8"/>
        <v/>
      </c>
      <c r="P10" s="83" t="str">
        <f t="shared" si="8"/>
        <v/>
      </c>
      <c r="Q10" s="83" t="str">
        <f t="shared" si="8"/>
        <v/>
      </c>
      <c r="R10" s="83" t="str">
        <f t="shared" si="8"/>
        <v/>
      </c>
      <c r="S10" s="83" t="str">
        <f t="shared" si="8"/>
        <v/>
      </c>
      <c r="T10" s="83" t="str">
        <f t="shared" si="8"/>
        <v/>
      </c>
      <c r="U10" s="83" t="str">
        <f t="shared" si="8"/>
        <v/>
      </c>
      <c r="V10" s="83" t="str">
        <f t="shared" si="8"/>
        <v/>
      </c>
      <c r="W10" s="83" t="str">
        <f t="shared" si="8"/>
        <v/>
      </c>
      <c r="X10" s="83" t="str">
        <f t="shared" si="8"/>
        <v/>
      </c>
      <c r="Y10" s="83" t="str">
        <f t="shared" si="8"/>
        <v/>
      </c>
      <c r="Z10" s="83" t="str">
        <f t="shared" si="8"/>
        <v/>
      </c>
      <c r="AA10" s="83" t="str">
        <f t="shared" si="8"/>
        <v/>
      </c>
      <c r="AB10" s="83" t="str">
        <f t="shared" si="8"/>
        <v/>
      </c>
      <c r="AC10" s="83" t="str">
        <f t="shared" si="8"/>
        <v/>
      </c>
      <c r="AD10" s="83">
        <f t="shared" si="8"/>
        <v>3.200000000000002</v>
      </c>
      <c r="AE10" s="83" t="str">
        <f t="shared" si="8"/>
        <v/>
      </c>
      <c r="AF10" s="83" t="str">
        <f t="shared" si="8"/>
        <v/>
      </c>
      <c r="AG10" s="83" t="str">
        <f t="shared" si="8"/>
        <v/>
      </c>
      <c r="AH10" s="83" t="str">
        <f t="shared" si="8"/>
        <v/>
      </c>
      <c r="AI10" s="83" t="str">
        <f t="shared" si="8"/>
        <v/>
      </c>
      <c r="AJ10" s="83" t="str">
        <f t="shared" si="8"/>
        <v/>
      </c>
      <c r="AK10" s="83" t="str">
        <f t="shared" si="8"/>
        <v/>
      </c>
      <c r="AL10" s="83" t="str">
        <f t="shared" si="8"/>
        <v/>
      </c>
    </row>
    <row r="11" spans="1:50" x14ac:dyDescent="0.2">
      <c r="C11" s="95"/>
      <c r="D11" s="95">
        <v>15</v>
      </c>
      <c r="E11" s="118">
        <f t="shared" ref="E11" si="9">E$6+D11*IF(C$7="n",5,1)*IF(C$7="j",4,1)</f>
        <v>445</v>
      </c>
      <c r="F11" s="100">
        <f t="shared" si="2"/>
        <v>3.1000000000000019</v>
      </c>
      <c r="G11" s="96"/>
      <c r="H11" s="83" t="str">
        <f t="shared" si="8"/>
        <v/>
      </c>
      <c r="I11" s="83" t="str">
        <f t="shared" si="8"/>
        <v/>
      </c>
      <c r="J11" s="83" t="str">
        <f t="shared" si="8"/>
        <v/>
      </c>
      <c r="K11" s="83" t="str">
        <f t="shared" si="8"/>
        <v/>
      </c>
      <c r="L11" s="83" t="str">
        <f t="shared" si="8"/>
        <v/>
      </c>
      <c r="M11" s="83" t="str">
        <f t="shared" si="8"/>
        <v/>
      </c>
      <c r="N11" s="83" t="str">
        <f t="shared" si="8"/>
        <v/>
      </c>
      <c r="O11" s="83" t="str">
        <f t="shared" si="8"/>
        <v/>
      </c>
      <c r="P11" s="83" t="str">
        <f t="shared" si="8"/>
        <v/>
      </c>
      <c r="Q11" s="83" t="str">
        <f t="shared" si="8"/>
        <v/>
      </c>
      <c r="R11" s="83" t="str">
        <f t="shared" si="8"/>
        <v/>
      </c>
      <c r="S11" s="83" t="str">
        <f t="shared" si="8"/>
        <v/>
      </c>
      <c r="T11" s="83" t="str">
        <f t="shared" si="8"/>
        <v/>
      </c>
      <c r="U11" s="83" t="str">
        <f t="shared" si="8"/>
        <v/>
      </c>
      <c r="V11" s="83" t="str">
        <f t="shared" si="8"/>
        <v/>
      </c>
      <c r="W11" s="83" t="str">
        <f t="shared" si="8"/>
        <v/>
      </c>
      <c r="X11" s="83" t="str">
        <f t="shared" si="8"/>
        <v/>
      </c>
      <c r="Y11" s="83" t="str">
        <f t="shared" si="8"/>
        <v/>
      </c>
      <c r="Z11" s="83" t="str">
        <f t="shared" si="8"/>
        <v/>
      </c>
      <c r="AA11" s="83" t="str">
        <f t="shared" si="8"/>
        <v/>
      </c>
      <c r="AB11" s="83" t="str">
        <f t="shared" si="8"/>
        <v/>
      </c>
      <c r="AC11" s="83">
        <f t="shared" si="8"/>
        <v>3.1000000000000019</v>
      </c>
      <c r="AD11" s="83" t="str">
        <f t="shared" si="8"/>
        <v/>
      </c>
      <c r="AE11" s="83" t="str">
        <f t="shared" si="8"/>
        <v/>
      </c>
      <c r="AF11" s="83" t="str">
        <f t="shared" si="8"/>
        <v/>
      </c>
      <c r="AG11" s="83" t="str">
        <f t="shared" si="8"/>
        <v/>
      </c>
      <c r="AH11" s="83" t="str">
        <f t="shared" si="8"/>
        <v/>
      </c>
      <c r="AI11" s="83" t="str">
        <f t="shared" si="8"/>
        <v/>
      </c>
      <c r="AJ11" s="83" t="str">
        <f t="shared" si="8"/>
        <v/>
      </c>
      <c r="AK11" s="83" t="str">
        <f t="shared" si="8"/>
        <v/>
      </c>
      <c r="AL11" s="83" t="str">
        <f t="shared" si="8"/>
        <v/>
      </c>
    </row>
    <row r="12" spans="1:50" x14ac:dyDescent="0.2">
      <c r="C12" s="115"/>
      <c r="D12" s="115"/>
      <c r="E12" s="119"/>
      <c r="F12" s="116"/>
      <c r="G12" s="9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</row>
    <row r="14" spans="1:50" ht="25.5" x14ac:dyDescent="0.2">
      <c r="A14" s="106"/>
      <c r="B14" s="106"/>
      <c r="C14" s="107" t="s">
        <v>113</v>
      </c>
      <c r="D14" s="108" t="s">
        <v>114</v>
      </c>
      <c r="E14" s="108" t="s">
        <v>110</v>
      </c>
      <c r="F14" s="108" t="s">
        <v>111</v>
      </c>
      <c r="G14" s="109"/>
      <c r="H14" s="110">
        <v>1</v>
      </c>
      <c r="I14" s="110">
        <f>H14+0.1</f>
        <v>1.1000000000000001</v>
      </c>
      <c r="J14" s="110">
        <f t="shared" ref="J14" si="10">I14+0.1</f>
        <v>1.2000000000000002</v>
      </c>
      <c r="K14" s="110">
        <f t="shared" ref="K14" si="11">J14+0.1</f>
        <v>1.3000000000000003</v>
      </c>
      <c r="L14" s="110">
        <f t="shared" ref="L14" si="12">K14+0.1</f>
        <v>1.4000000000000004</v>
      </c>
      <c r="M14" s="110">
        <f t="shared" ref="M14" si="13">L14+0.1</f>
        <v>1.5000000000000004</v>
      </c>
      <c r="N14" s="110">
        <f t="shared" ref="N14" si="14">M14+0.1</f>
        <v>1.6000000000000005</v>
      </c>
      <c r="O14" s="110">
        <f t="shared" ref="O14" si="15">N14+0.1</f>
        <v>1.7000000000000006</v>
      </c>
      <c r="P14" s="110">
        <f t="shared" ref="P14" si="16">O14+0.1</f>
        <v>1.8000000000000007</v>
      </c>
      <c r="Q14" s="110">
        <f t="shared" ref="Q14" si="17">P14+0.1</f>
        <v>1.9000000000000008</v>
      </c>
      <c r="R14" s="110">
        <f t="shared" ref="R14" si="18">Q14+0.1</f>
        <v>2.0000000000000009</v>
      </c>
      <c r="S14" s="110">
        <f t="shared" ref="S14" si="19">R14+0.1</f>
        <v>2.100000000000001</v>
      </c>
      <c r="T14" s="110">
        <f t="shared" ref="T14" si="20">S14+0.1</f>
        <v>2.2000000000000011</v>
      </c>
      <c r="U14" s="110">
        <f t="shared" ref="U14" si="21">T14+0.1</f>
        <v>2.3000000000000012</v>
      </c>
      <c r="V14" s="110">
        <f t="shared" ref="V14" si="22">U14+0.1</f>
        <v>2.4000000000000012</v>
      </c>
      <c r="W14" s="110">
        <f t="shared" ref="W14" si="23">V14+0.1</f>
        <v>2.5000000000000013</v>
      </c>
      <c r="X14" s="110">
        <f t="shared" ref="X14" si="24">W14+0.1</f>
        <v>2.6000000000000014</v>
      </c>
      <c r="Y14" s="110">
        <f t="shared" ref="Y14" si="25">X14+0.1</f>
        <v>2.7000000000000015</v>
      </c>
      <c r="Z14" s="110">
        <f t="shared" ref="Z14" si="26">Y14+0.1</f>
        <v>2.8000000000000016</v>
      </c>
      <c r="AA14" s="110">
        <f t="shared" ref="AA14" si="27">Z14+0.1</f>
        <v>2.9000000000000017</v>
      </c>
      <c r="AB14" s="110">
        <f t="shared" ref="AB14" si="28">AA14+0.1</f>
        <v>3.0000000000000018</v>
      </c>
      <c r="AC14" s="110">
        <f t="shared" ref="AC14" si="29">AB14+0.1</f>
        <v>3.1000000000000019</v>
      </c>
      <c r="AD14" s="110">
        <f t="shared" ref="AD14" si="30">AC14+0.1</f>
        <v>3.200000000000002</v>
      </c>
      <c r="AE14" s="110">
        <f t="shared" ref="AE14" si="31">AD14+0.1</f>
        <v>3.300000000000002</v>
      </c>
      <c r="AF14" s="110">
        <f t="shared" ref="AF14" si="32">AE14+0.1</f>
        <v>3.4000000000000021</v>
      </c>
      <c r="AG14" s="110">
        <f t="shared" ref="AG14" si="33">AF14+0.1</f>
        <v>3.5000000000000022</v>
      </c>
      <c r="AH14" s="110">
        <f t="shared" ref="AH14" si="34">AG14+0.1</f>
        <v>3.6000000000000023</v>
      </c>
      <c r="AI14" s="110">
        <f t="shared" ref="AI14" si="35">AH14+0.1</f>
        <v>3.7000000000000024</v>
      </c>
      <c r="AJ14" s="110">
        <f t="shared" ref="AJ14" si="36">AI14+0.1</f>
        <v>3.8000000000000025</v>
      </c>
      <c r="AK14" s="110">
        <f t="shared" ref="AK14" si="37">AJ14+0.1</f>
        <v>3.9000000000000026</v>
      </c>
      <c r="AL14" s="110">
        <f t="shared" ref="AL14" si="38">AK14+0.1</f>
        <v>4.0000000000000027</v>
      </c>
    </row>
    <row r="15" spans="1:50" ht="12.75" customHeight="1" x14ac:dyDescent="0.2">
      <c r="A15" s="106"/>
      <c r="B15" s="106"/>
      <c r="C15" s="108"/>
      <c r="D15" s="108"/>
      <c r="E15" s="108"/>
      <c r="F15" s="108"/>
      <c r="G15" s="109"/>
      <c r="H15" s="111">
        <v>900</v>
      </c>
      <c r="I15" s="111">
        <f>H15-78</f>
        <v>822</v>
      </c>
      <c r="J15" s="111">
        <f>I15-18</f>
        <v>804</v>
      </c>
      <c r="K15" s="111">
        <f t="shared" ref="K15:AL15" si="39">J15-18</f>
        <v>786</v>
      </c>
      <c r="L15" s="111">
        <f t="shared" si="39"/>
        <v>768</v>
      </c>
      <c r="M15" s="111">
        <f t="shared" si="39"/>
        <v>750</v>
      </c>
      <c r="N15" s="111">
        <f t="shared" si="39"/>
        <v>732</v>
      </c>
      <c r="O15" s="111">
        <f t="shared" si="39"/>
        <v>714</v>
      </c>
      <c r="P15" s="111">
        <f t="shared" si="39"/>
        <v>696</v>
      </c>
      <c r="Q15" s="111">
        <f t="shared" si="39"/>
        <v>678</v>
      </c>
      <c r="R15" s="111">
        <f t="shared" si="39"/>
        <v>660</v>
      </c>
      <c r="S15" s="111">
        <f t="shared" si="39"/>
        <v>642</v>
      </c>
      <c r="T15" s="111">
        <f t="shared" si="39"/>
        <v>624</v>
      </c>
      <c r="U15" s="111">
        <f t="shared" si="39"/>
        <v>606</v>
      </c>
      <c r="V15" s="111">
        <f t="shared" si="39"/>
        <v>588</v>
      </c>
      <c r="W15" s="111">
        <f t="shared" si="39"/>
        <v>570</v>
      </c>
      <c r="X15" s="111">
        <f t="shared" si="39"/>
        <v>552</v>
      </c>
      <c r="Y15" s="111">
        <f t="shared" si="39"/>
        <v>534</v>
      </c>
      <c r="Z15" s="111">
        <f t="shared" si="39"/>
        <v>516</v>
      </c>
      <c r="AA15" s="111">
        <f t="shared" si="39"/>
        <v>498</v>
      </c>
      <c r="AB15" s="111">
        <f t="shared" si="39"/>
        <v>480</v>
      </c>
      <c r="AC15" s="111">
        <f t="shared" si="39"/>
        <v>462</v>
      </c>
      <c r="AD15" s="111">
        <f t="shared" si="39"/>
        <v>444</v>
      </c>
      <c r="AE15" s="111">
        <f t="shared" si="39"/>
        <v>426</v>
      </c>
      <c r="AF15" s="111">
        <f t="shared" si="39"/>
        <v>408</v>
      </c>
      <c r="AG15" s="111">
        <f t="shared" si="39"/>
        <v>390</v>
      </c>
      <c r="AH15" s="111">
        <f t="shared" si="39"/>
        <v>372</v>
      </c>
      <c r="AI15" s="111">
        <f t="shared" si="39"/>
        <v>354</v>
      </c>
      <c r="AJ15" s="111">
        <f t="shared" si="39"/>
        <v>336</v>
      </c>
      <c r="AK15" s="111">
        <f t="shared" si="39"/>
        <v>318</v>
      </c>
      <c r="AL15" s="111">
        <f t="shared" si="39"/>
        <v>300</v>
      </c>
    </row>
    <row r="16" spans="1:50" ht="3.75" customHeight="1" x14ac:dyDescent="0.2">
      <c r="A16" s="106"/>
      <c r="B16" s="106"/>
      <c r="C16" s="108"/>
      <c r="D16" s="108"/>
      <c r="E16" s="108"/>
      <c r="F16" s="108"/>
      <c r="G16" s="109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</row>
    <row r="17" spans="1:38" x14ac:dyDescent="0.2">
      <c r="A17" s="99" t="s">
        <v>116</v>
      </c>
      <c r="B17" s="94"/>
      <c r="C17" s="114">
        <v>393</v>
      </c>
      <c r="D17" s="95"/>
      <c r="E17" s="118">
        <f>C17</f>
        <v>393</v>
      </c>
      <c r="F17" s="100">
        <f t="shared" ref="F17:F22" si="40">IF(SUM(H17:AL17)&lt;&gt;0,SUM(H17:AL17),"")</f>
        <v>3.4000000000000021</v>
      </c>
      <c r="G17" s="96"/>
      <c r="H17" s="83" t="str">
        <f>IF(AND(I$4+1&lt;=$E17,$E17&lt;=H$4),H$3,"")</f>
        <v/>
      </c>
      <c r="I17" s="83" t="str">
        <f t="shared" ref="I17:AL17" si="41">IF(AND(J$4+1&lt;=$E17,$E17&lt;=I$4),I$3,"")</f>
        <v/>
      </c>
      <c r="J17" s="83" t="str">
        <f t="shared" si="41"/>
        <v/>
      </c>
      <c r="K17" s="83" t="str">
        <f t="shared" si="41"/>
        <v/>
      </c>
      <c r="L17" s="83" t="str">
        <f t="shared" si="41"/>
        <v/>
      </c>
      <c r="M17" s="83" t="str">
        <f t="shared" si="41"/>
        <v/>
      </c>
      <c r="N17" s="83" t="str">
        <f t="shared" si="41"/>
        <v/>
      </c>
      <c r="O17" s="83" t="str">
        <f t="shared" si="41"/>
        <v/>
      </c>
      <c r="P17" s="83" t="str">
        <f t="shared" si="41"/>
        <v/>
      </c>
      <c r="Q17" s="83" t="str">
        <f t="shared" si="41"/>
        <v/>
      </c>
      <c r="R17" s="83" t="str">
        <f t="shared" si="41"/>
        <v/>
      </c>
      <c r="S17" s="83" t="str">
        <f t="shared" si="41"/>
        <v/>
      </c>
      <c r="T17" s="83" t="str">
        <f t="shared" si="41"/>
        <v/>
      </c>
      <c r="U17" s="83" t="str">
        <f t="shared" si="41"/>
        <v/>
      </c>
      <c r="V17" s="83" t="str">
        <f t="shared" si="41"/>
        <v/>
      </c>
      <c r="W17" s="83" t="str">
        <f t="shared" si="41"/>
        <v/>
      </c>
      <c r="X17" s="83" t="str">
        <f t="shared" si="41"/>
        <v/>
      </c>
      <c r="Y17" s="83" t="str">
        <f t="shared" si="41"/>
        <v/>
      </c>
      <c r="Z17" s="83" t="str">
        <f t="shared" si="41"/>
        <v/>
      </c>
      <c r="AA17" s="83" t="str">
        <f t="shared" si="41"/>
        <v/>
      </c>
      <c r="AB17" s="83" t="str">
        <f t="shared" si="41"/>
        <v/>
      </c>
      <c r="AC17" s="83" t="str">
        <f t="shared" si="41"/>
        <v/>
      </c>
      <c r="AD17" s="83" t="str">
        <f t="shared" si="41"/>
        <v/>
      </c>
      <c r="AE17" s="83" t="str">
        <f t="shared" si="41"/>
        <v/>
      </c>
      <c r="AF17" s="83">
        <f t="shared" si="41"/>
        <v>3.4000000000000021</v>
      </c>
      <c r="AG17" s="83" t="str">
        <f t="shared" si="41"/>
        <v/>
      </c>
      <c r="AH17" s="83" t="str">
        <f t="shared" si="41"/>
        <v/>
      </c>
      <c r="AI17" s="83" t="str">
        <f t="shared" si="41"/>
        <v/>
      </c>
      <c r="AJ17" s="83" t="str">
        <f t="shared" si="41"/>
        <v/>
      </c>
      <c r="AK17" s="83" t="str">
        <f t="shared" si="41"/>
        <v/>
      </c>
      <c r="AL17" s="83" t="str">
        <f t="shared" si="41"/>
        <v/>
      </c>
    </row>
    <row r="18" spans="1:38" x14ac:dyDescent="0.2">
      <c r="A18" s="99" t="s">
        <v>117</v>
      </c>
      <c r="B18" s="94"/>
      <c r="C18" s="114" t="s">
        <v>119</v>
      </c>
      <c r="D18" s="95">
        <v>4</v>
      </c>
      <c r="E18" s="118">
        <f>E$17+D18*IF(C$18="n",5,1)*IF(C$18="j",4,1)</f>
        <v>409</v>
      </c>
      <c r="F18" s="100">
        <f t="shared" si="40"/>
        <v>3.300000000000002</v>
      </c>
      <c r="G18" s="96"/>
      <c r="H18" s="83" t="str">
        <f t="shared" ref="H18:AL18" si="42">IF(AND(I$4+1&lt;=$E18,$E18&lt;=H$4),H$3,"")</f>
        <v/>
      </c>
      <c r="I18" s="83" t="str">
        <f t="shared" si="42"/>
        <v/>
      </c>
      <c r="J18" s="83" t="str">
        <f t="shared" si="42"/>
        <v/>
      </c>
      <c r="K18" s="83" t="str">
        <f t="shared" si="42"/>
        <v/>
      </c>
      <c r="L18" s="83" t="str">
        <f t="shared" si="42"/>
        <v/>
      </c>
      <c r="M18" s="83" t="str">
        <f t="shared" si="42"/>
        <v/>
      </c>
      <c r="N18" s="83" t="str">
        <f t="shared" si="42"/>
        <v/>
      </c>
      <c r="O18" s="83" t="str">
        <f t="shared" si="42"/>
        <v/>
      </c>
      <c r="P18" s="83" t="str">
        <f t="shared" si="42"/>
        <v/>
      </c>
      <c r="Q18" s="83" t="str">
        <f t="shared" si="42"/>
        <v/>
      </c>
      <c r="R18" s="83" t="str">
        <f t="shared" si="42"/>
        <v/>
      </c>
      <c r="S18" s="83" t="str">
        <f t="shared" si="42"/>
        <v/>
      </c>
      <c r="T18" s="83" t="str">
        <f t="shared" si="42"/>
        <v/>
      </c>
      <c r="U18" s="83" t="str">
        <f t="shared" si="42"/>
        <v/>
      </c>
      <c r="V18" s="83" t="str">
        <f t="shared" si="42"/>
        <v/>
      </c>
      <c r="W18" s="83" t="str">
        <f t="shared" si="42"/>
        <v/>
      </c>
      <c r="X18" s="83" t="str">
        <f t="shared" si="42"/>
        <v/>
      </c>
      <c r="Y18" s="83" t="str">
        <f t="shared" si="42"/>
        <v/>
      </c>
      <c r="Z18" s="83" t="str">
        <f t="shared" si="42"/>
        <v/>
      </c>
      <c r="AA18" s="83" t="str">
        <f t="shared" si="42"/>
        <v/>
      </c>
      <c r="AB18" s="83" t="str">
        <f t="shared" si="42"/>
        <v/>
      </c>
      <c r="AC18" s="83" t="str">
        <f t="shared" si="42"/>
        <v/>
      </c>
      <c r="AD18" s="83" t="str">
        <f t="shared" si="42"/>
        <v/>
      </c>
      <c r="AE18" s="83">
        <f t="shared" si="42"/>
        <v>3.300000000000002</v>
      </c>
      <c r="AF18" s="83" t="str">
        <f t="shared" si="42"/>
        <v/>
      </c>
      <c r="AG18" s="83" t="str">
        <f t="shared" si="42"/>
        <v/>
      </c>
      <c r="AH18" s="83" t="str">
        <f t="shared" si="42"/>
        <v/>
      </c>
      <c r="AI18" s="83" t="str">
        <f t="shared" si="42"/>
        <v/>
      </c>
      <c r="AJ18" s="83" t="str">
        <f t="shared" si="42"/>
        <v/>
      </c>
      <c r="AK18" s="83" t="str">
        <f t="shared" si="42"/>
        <v/>
      </c>
      <c r="AL18" s="83" t="str">
        <f t="shared" si="42"/>
        <v/>
      </c>
    </row>
    <row r="19" spans="1:38" x14ac:dyDescent="0.2">
      <c r="C19" s="95"/>
      <c r="D19" s="95">
        <v>9</v>
      </c>
      <c r="E19" s="118">
        <f t="shared" ref="E19:E21" si="43">E$17+D19*IF(C$18="n",5,1)*IF(C$18="j",4,1)</f>
        <v>429</v>
      </c>
      <c r="F19" s="100">
        <f t="shared" si="40"/>
        <v>3.200000000000002</v>
      </c>
      <c r="G19" s="96"/>
      <c r="H19" s="83" t="str">
        <f t="shared" ref="H19:AL19" si="44">IF(AND(I$4+1&lt;=$E19,$E19&lt;=H$4),H$3,"")</f>
        <v/>
      </c>
      <c r="I19" s="83" t="str">
        <f t="shared" si="44"/>
        <v/>
      </c>
      <c r="J19" s="83" t="str">
        <f t="shared" si="44"/>
        <v/>
      </c>
      <c r="K19" s="83" t="str">
        <f t="shared" si="44"/>
        <v/>
      </c>
      <c r="L19" s="83" t="str">
        <f t="shared" si="44"/>
        <v/>
      </c>
      <c r="M19" s="83" t="str">
        <f t="shared" si="44"/>
        <v/>
      </c>
      <c r="N19" s="83" t="str">
        <f t="shared" si="44"/>
        <v/>
      </c>
      <c r="O19" s="83" t="str">
        <f t="shared" si="44"/>
        <v/>
      </c>
      <c r="P19" s="83" t="str">
        <f t="shared" si="44"/>
        <v/>
      </c>
      <c r="Q19" s="83" t="str">
        <f t="shared" si="44"/>
        <v/>
      </c>
      <c r="R19" s="83" t="str">
        <f t="shared" si="44"/>
        <v/>
      </c>
      <c r="S19" s="83" t="str">
        <f t="shared" si="44"/>
        <v/>
      </c>
      <c r="T19" s="83" t="str">
        <f t="shared" si="44"/>
        <v/>
      </c>
      <c r="U19" s="83" t="str">
        <f t="shared" si="44"/>
        <v/>
      </c>
      <c r="V19" s="83" t="str">
        <f t="shared" si="44"/>
        <v/>
      </c>
      <c r="W19" s="83" t="str">
        <f t="shared" si="44"/>
        <v/>
      </c>
      <c r="X19" s="83" t="str">
        <f t="shared" si="44"/>
        <v/>
      </c>
      <c r="Y19" s="83" t="str">
        <f t="shared" si="44"/>
        <v/>
      </c>
      <c r="Z19" s="83" t="str">
        <f t="shared" si="44"/>
        <v/>
      </c>
      <c r="AA19" s="83" t="str">
        <f t="shared" si="44"/>
        <v/>
      </c>
      <c r="AB19" s="83" t="str">
        <f t="shared" si="44"/>
        <v/>
      </c>
      <c r="AC19" s="83" t="str">
        <f t="shared" si="44"/>
        <v/>
      </c>
      <c r="AD19" s="83">
        <f t="shared" si="44"/>
        <v>3.200000000000002</v>
      </c>
      <c r="AE19" s="83" t="str">
        <f t="shared" si="44"/>
        <v/>
      </c>
      <c r="AF19" s="83" t="str">
        <f t="shared" si="44"/>
        <v/>
      </c>
      <c r="AG19" s="83" t="str">
        <f t="shared" si="44"/>
        <v/>
      </c>
      <c r="AH19" s="83" t="str">
        <f t="shared" si="44"/>
        <v/>
      </c>
      <c r="AI19" s="83" t="str">
        <f t="shared" si="44"/>
        <v/>
      </c>
      <c r="AJ19" s="83" t="str">
        <f t="shared" si="44"/>
        <v/>
      </c>
      <c r="AK19" s="83" t="str">
        <f t="shared" si="44"/>
        <v/>
      </c>
      <c r="AL19" s="83" t="str">
        <f t="shared" si="44"/>
        <v/>
      </c>
    </row>
    <row r="20" spans="1:38" x14ac:dyDescent="0.2">
      <c r="C20" s="95"/>
      <c r="D20" s="95">
        <f>D19+4</f>
        <v>13</v>
      </c>
      <c r="E20" s="118">
        <f t="shared" si="43"/>
        <v>445</v>
      </c>
      <c r="F20" s="100">
        <f t="shared" si="40"/>
        <v>3.1000000000000019</v>
      </c>
      <c r="G20" s="96"/>
      <c r="H20" s="83" t="str">
        <f t="shared" ref="H20:AL20" si="45">IF(AND(I$4+1&lt;=$E20,$E20&lt;=H$4),H$3,"")</f>
        <v/>
      </c>
      <c r="I20" s="83" t="str">
        <f t="shared" si="45"/>
        <v/>
      </c>
      <c r="J20" s="83" t="str">
        <f t="shared" si="45"/>
        <v/>
      </c>
      <c r="K20" s="83" t="str">
        <f t="shared" si="45"/>
        <v/>
      </c>
      <c r="L20" s="83" t="str">
        <f t="shared" si="45"/>
        <v/>
      </c>
      <c r="M20" s="83" t="str">
        <f t="shared" si="45"/>
        <v/>
      </c>
      <c r="N20" s="83" t="str">
        <f t="shared" si="45"/>
        <v/>
      </c>
      <c r="O20" s="83" t="str">
        <f t="shared" si="45"/>
        <v/>
      </c>
      <c r="P20" s="83" t="str">
        <f t="shared" si="45"/>
        <v/>
      </c>
      <c r="Q20" s="83" t="str">
        <f t="shared" si="45"/>
        <v/>
      </c>
      <c r="R20" s="83" t="str">
        <f t="shared" si="45"/>
        <v/>
      </c>
      <c r="S20" s="83" t="str">
        <f t="shared" si="45"/>
        <v/>
      </c>
      <c r="T20" s="83" t="str">
        <f t="shared" si="45"/>
        <v/>
      </c>
      <c r="U20" s="83" t="str">
        <f t="shared" si="45"/>
        <v/>
      </c>
      <c r="V20" s="83" t="str">
        <f t="shared" si="45"/>
        <v/>
      </c>
      <c r="W20" s="83" t="str">
        <f t="shared" si="45"/>
        <v/>
      </c>
      <c r="X20" s="83" t="str">
        <f t="shared" si="45"/>
        <v/>
      </c>
      <c r="Y20" s="83" t="str">
        <f t="shared" si="45"/>
        <v/>
      </c>
      <c r="Z20" s="83" t="str">
        <f t="shared" si="45"/>
        <v/>
      </c>
      <c r="AA20" s="83" t="str">
        <f t="shared" si="45"/>
        <v/>
      </c>
      <c r="AB20" s="83" t="str">
        <f t="shared" si="45"/>
        <v/>
      </c>
      <c r="AC20" s="83">
        <f t="shared" si="45"/>
        <v>3.1000000000000019</v>
      </c>
      <c r="AD20" s="83" t="str">
        <f t="shared" si="45"/>
        <v/>
      </c>
      <c r="AE20" s="83" t="str">
        <f t="shared" si="45"/>
        <v/>
      </c>
      <c r="AF20" s="83" t="str">
        <f t="shared" si="45"/>
        <v/>
      </c>
      <c r="AG20" s="83" t="str">
        <f t="shared" si="45"/>
        <v/>
      </c>
      <c r="AH20" s="83" t="str">
        <f t="shared" si="45"/>
        <v/>
      </c>
      <c r="AI20" s="83" t="str">
        <f t="shared" si="45"/>
        <v/>
      </c>
      <c r="AJ20" s="83" t="str">
        <f t="shared" si="45"/>
        <v/>
      </c>
      <c r="AK20" s="83" t="str">
        <f t="shared" si="45"/>
        <v/>
      </c>
      <c r="AL20" s="83" t="str">
        <f t="shared" si="45"/>
        <v/>
      </c>
    </row>
    <row r="21" spans="1:38" x14ac:dyDescent="0.2">
      <c r="C21" s="95"/>
      <c r="D21" s="95">
        <v>15</v>
      </c>
      <c r="E21" s="118">
        <f t="shared" si="43"/>
        <v>453</v>
      </c>
      <c r="F21" s="100">
        <f t="shared" si="40"/>
        <v>3.1000000000000019</v>
      </c>
      <c r="G21" s="96"/>
      <c r="H21" s="83" t="str">
        <f t="shared" ref="H21:AL22" si="46">IF(AND(I$4+1&lt;=$E21,$E21&lt;=H$4),H$3,"")</f>
        <v/>
      </c>
      <c r="I21" s="83" t="str">
        <f t="shared" si="46"/>
        <v/>
      </c>
      <c r="J21" s="83" t="str">
        <f t="shared" si="46"/>
        <v/>
      </c>
      <c r="K21" s="83" t="str">
        <f t="shared" si="46"/>
        <v/>
      </c>
      <c r="L21" s="83" t="str">
        <f t="shared" si="46"/>
        <v/>
      </c>
      <c r="M21" s="83" t="str">
        <f t="shared" si="46"/>
        <v/>
      </c>
      <c r="N21" s="83" t="str">
        <f t="shared" si="46"/>
        <v/>
      </c>
      <c r="O21" s="83" t="str">
        <f t="shared" si="46"/>
        <v/>
      </c>
      <c r="P21" s="83" t="str">
        <f t="shared" si="46"/>
        <v/>
      </c>
      <c r="Q21" s="83" t="str">
        <f t="shared" si="46"/>
        <v/>
      </c>
      <c r="R21" s="83" t="str">
        <f t="shared" si="46"/>
        <v/>
      </c>
      <c r="S21" s="83" t="str">
        <f t="shared" si="46"/>
        <v/>
      </c>
      <c r="T21" s="83" t="str">
        <f t="shared" si="46"/>
        <v/>
      </c>
      <c r="U21" s="83" t="str">
        <f t="shared" si="46"/>
        <v/>
      </c>
      <c r="V21" s="83" t="str">
        <f t="shared" si="46"/>
        <v/>
      </c>
      <c r="W21" s="83" t="str">
        <f t="shared" si="46"/>
        <v/>
      </c>
      <c r="X21" s="83" t="str">
        <f t="shared" si="46"/>
        <v/>
      </c>
      <c r="Y21" s="83" t="str">
        <f t="shared" si="46"/>
        <v/>
      </c>
      <c r="Z21" s="83" t="str">
        <f t="shared" si="46"/>
        <v/>
      </c>
      <c r="AA21" s="83" t="str">
        <f t="shared" si="46"/>
        <v/>
      </c>
      <c r="AB21" s="83" t="str">
        <f t="shared" si="46"/>
        <v/>
      </c>
      <c r="AC21" s="83">
        <f t="shared" si="46"/>
        <v>3.1000000000000019</v>
      </c>
      <c r="AD21" s="83" t="str">
        <f t="shared" si="46"/>
        <v/>
      </c>
      <c r="AE21" s="83" t="str">
        <f t="shared" si="46"/>
        <v/>
      </c>
      <c r="AF21" s="83" t="str">
        <f t="shared" si="46"/>
        <v/>
      </c>
      <c r="AG21" s="83" t="str">
        <f t="shared" si="46"/>
        <v/>
      </c>
      <c r="AH21" s="83" t="str">
        <f t="shared" si="46"/>
        <v/>
      </c>
      <c r="AI21" s="83" t="str">
        <f t="shared" si="46"/>
        <v/>
      </c>
      <c r="AJ21" s="83" t="str">
        <f t="shared" si="46"/>
        <v/>
      </c>
      <c r="AK21" s="83" t="str">
        <f t="shared" si="46"/>
        <v/>
      </c>
      <c r="AL21" s="83" t="str">
        <f t="shared" si="46"/>
        <v/>
      </c>
    </row>
    <row r="22" spans="1:38" x14ac:dyDescent="0.2">
      <c r="C22" s="95"/>
      <c r="D22" s="95">
        <v>15</v>
      </c>
      <c r="E22" s="118">
        <f t="shared" ref="E22" si="47">E$17+D22*IF(C$18="n",5,1)*IF(C$18="j",4,1)</f>
        <v>453</v>
      </c>
      <c r="F22" s="100">
        <f t="shared" si="40"/>
        <v>3.1000000000000019</v>
      </c>
      <c r="G22" s="96"/>
      <c r="H22" s="83" t="str">
        <f t="shared" si="46"/>
        <v/>
      </c>
      <c r="I22" s="83" t="str">
        <f t="shared" si="46"/>
        <v/>
      </c>
      <c r="J22" s="83" t="str">
        <f t="shared" si="46"/>
        <v/>
      </c>
      <c r="K22" s="83" t="str">
        <f t="shared" si="46"/>
        <v/>
      </c>
      <c r="L22" s="83" t="str">
        <f t="shared" si="46"/>
        <v/>
      </c>
      <c r="M22" s="83" t="str">
        <f t="shared" si="46"/>
        <v/>
      </c>
      <c r="N22" s="83" t="str">
        <f t="shared" si="46"/>
        <v/>
      </c>
      <c r="O22" s="83" t="str">
        <f t="shared" si="46"/>
        <v/>
      </c>
      <c r="P22" s="83" t="str">
        <f t="shared" si="46"/>
        <v/>
      </c>
      <c r="Q22" s="83" t="str">
        <f t="shared" si="46"/>
        <v/>
      </c>
      <c r="R22" s="83" t="str">
        <f t="shared" si="46"/>
        <v/>
      </c>
      <c r="S22" s="83" t="str">
        <f t="shared" si="46"/>
        <v/>
      </c>
      <c r="T22" s="83" t="str">
        <f t="shared" si="46"/>
        <v/>
      </c>
      <c r="U22" s="83" t="str">
        <f t="shared" si="46"/>
        <v/>
      </c>
      <c r="V22" s="83" t="str">
        <f t="shared" si="46"/>
        <v/>
      </c>
      <c r="W22" s="83" t="str">
        <f t="shared" si="46"/>
        <v/>
      </c>
      <c r="X22" s="83" t="str">
        <f t="shared" si="46"/>
        <v/>
      </c>
      <c r="Y22" s="83" t="str">
        <f t="shared" si="46"/>
        <v/>
      </c>
      <c r="Z22" s="83" t="str">
        <f t="shared" si="46"/>
        <v/>
      </c>
      <c r="AA22" s="83" t="str">
        <f t="shared" si="46"/>
        <v/>
      </c>
      <c r="AB22" s="83" t="str">
        <f t="shared" si="46"/>
        <v/>
      </c>
      <c r="AC22" s="83">
        <f t="shared" si="46"/>
        <v>3.1000000000000019</v>
      </c>
      <c r="AD22" s="83" t="str">
        <f t="shared" si="46"/>
        <v/>
      </c>
      <c r="AE22" s="83" t="str">
        <f t="shared" si="46"/>
        <v/>
      </c>
      <c r="AF22" s="83" t="str">
        <f t="shared" si="46"/>
        <v/>
      </c>
      <c r="AG22" s="83" t="str">
        <f t="shared" si="46"/>
        <v/>
      </c>
      <c r="AH22" s="83" t="str">
        <f t="shared" si="46"/>
        <v/>
      </c>
      <c r="AI22" s="83" t="str">
        <f t="shared" si="46"/>
        <v/>
      </c>
      <c r="AJ22" s="83" t="str">
        <f t="shared" si="46"/>
        <v/>
      </c>
      <c r="AK22" s="83" t="str">
        <f t="shared" si="46"/>
        <v/>
      </c>
      <c r="AL22" s="83" t="str">
        <f t="shared" si="46"/>
        <v/>
      </c>
    </row>
    <row r="25" spans="1:38" ht="4.5" customHeight="1" x14ac:dyDescent="0.2"/>
  </sheetData>
  <pageMargins left="0.39370078740157483" right="0.19685039370078741" top="0.98425196850393704" bottom="0.98425196850393704" header="0.51181102362204722" footer="0.51181102362204722"/>
  <pageSetup paperSize="9" scale="95" orientation="landscape" horizontalDpi="300" verticalDpi="300" r:id="rId1"/>
  <headerFooter alignWithMargins="0">
    <oddHeader>&amp;R&amp;"Tahoma,Standard"&amp;8&amp;F - &amp;D -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Block_I (1F)</vt:lpstr>
      <vt:lpstr>Block_II (1F)</vt:lpstr>
      <vt:lpstr>Notenberechnung (1F)</vt:lpstr>
      <vt:lpstr>Notenberechnung</vt:lpstr>
      <vt:lpstr>Abi_Rechner</vt:lpstr>
      <vt:lpstr>MA_Rechner</vt:lpstr>
      <vt:lpstr>Nötige Pkte 4_5_PF</vt:lpstr>
      <vt:lpstr>Abi_Rechner!Druckbereich</vt:lpstr>
      <vt:lpstr>MA_Rechner!Druckbereich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Jonas Funke</cp:lastModifiedBy>
  <cp:lastPrinted>2013-08-26T10:54:29Z</cp:lastPrinted>
  <dcterms:created xsi:type="dcterms:W3CDTF">2013-08-26T07:19:21Z</dcterms:created>
  <dcterms:modified xsi:type="dcterms:W3CDTF">2021-09-07T11:16:17Z</dcterms:modified>
</cp:coreProperties>
</file>